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0.xml" ContentType="application/vnd.openxmlformats-officedocument.drawing+xml"/>
  <Override PartName="/xl/comments1.xml" ContentType="application/vnd.openxmlformats-officedocument.spreadsheetml.comments+xml"/>
  <Override PartName="/xl/drawings/drawing11.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1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3.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4.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1"/>
  <workbookPr/>
  <mc:AlternateContent xmlns:mc="http://schemas.openxmlformats.org/markup-compatibility/2006">
    <mc:Choice Requires="x15">
      <x15ac:absPath xmlns:x15ac="http://schemas.microsoft.com/office/spreadsheetml/2010/11/ac" url="https://emailwsu-my.sharepoint.com/personal/v_sierrajimenez_wsu_edu/Documents/WSU/PhD/Thesis/Paper 1 Methodology/"/>
    </mc:Choice>
  </mc:AlternateContent>
  <xr:revisionPtr revIDLastSave="1089" documentId="13_ncr:1_{B479B259-4EAD-DF48-9400-14361EB8B838}" xr6:coauthVersionLast="47" xr6:coauthVersionMax="47" xr10:uidLastSave="{9A7360E3-BB3D-1C4E-9F6C-0455B881515E}"/>
  <bookViews>
    <workbookView xWindow="28800" yWindow="500" windowWidth="38400" windowHeight="2110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AtomisticModel_Results" sheetId="21" r:id="rId12"/>
    <sheet name="Total_PSD" sheetId="23" r:id="rId13"/>
    <sheet name="g(r)" sheetId="22" r:id="rId14"/>
    <sheet name="Coordiantion" sheetId="24" r:id="rId15"/>
    <sheet name="Cluster_Analysis" sheetId="25" r:id="rId16"/>
    <sheet name="References" sheetId="10"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14" i="21" l="1"/>
  <c r="D13" i="21"/>
  <c r="E13" i="21"/>
  <c r="F13" i="21"/>
  <c r="H13" i="21"/>
  <c r="C13" i="21"/>
  <c r="D12" i="21"/>
  <c r="E12" i="21"/>
  <c r="F12" i="21"/>
  <c r="H12" i="21"/>
  <c r="C12" i="21"/>
  <c r="D11" i="21"/>
  <c r="E11" i="21"/>
  <c r="F11" i="21"/>
  <c r="G11" i="21"/>
  <c r="H11" i="21"/>
  <c r="C11" i="21"/>
  <c r="D10" i="21"/>
  <c r="E10" i="21"/>
  <c r="F10" i="21"/>
  <c r="G10" i="21"/>
  <c r="H10" i="21"/>
  <c r="C10" i="21"/>
  <c r="D7" i="21"/>
  <c r="E7" i="21"/>
  <c r="F7" i="21"/>
  <c r="G7" i="21"/>
  <c r="H7" i="21"/>
  <c r="C7" i="21"/>
  <c r="D6" i="21"/>
  <c r="E6" i="21"/>
  <c r="F6" i="21"/>
  <c r="G6" i="21"/>
  <c r="H6" i="21"/>
  <c r="C6" i="21"/>
  <c r="D5" i="21"/>
  <c r="E5" i="21"/>
  <c r="F5" i="21"/>
  <c r="G5" i="21"/>
  <c r="H5" i="21"/>
  <c r="C5" i="21"/>
  <c r="D4" i="21"/>
  <c r="E4" i="21"/>
  <c r="F4" i="21"/>
  <c r="G4" i="21"/>
  <c r="H4" i="21"/>
  <c r="C4" i="21"/>
  <c r="S31" i="21"/>
  <c r="T31" i="21"/>
  <c r="U31" i="21"/>
  <c r="V31" i="21"/>
  <c r="W31" i="21"/>
  <c r="X31" i="21"/>
  <c r="S33" i="21"/>
  <c r="T33" i="21"/>
  <c r="U33" i="21"/>
  <c r="V33" i="21"/>
  <c r="W33" i="21"/>
  <c r="X33" i="21"/>
  <c r="S35" i="21"/>
  <c r="T35" i="21"/>
  <c r="U35" i="21"/>
  <c r="V35" i="21"/>
  <c r="W35" i="21"/>
  <c r="X35" i="21"/>
  <c r="S37" i="21"/>
  <c r="T37" i="21"/>
  <c r="U37" i="21"/>
  <c r="V37" i="21"/>
  <c r="W37" i="21"/>
  <c r="X37" i="21"/>
  <c r="X29" i="21"/>
  <c r="V29" i="21"/>
  <c r="U29" i="21"/>
  <c r="T29" i="21"/>
  <c r="S29" i="21"/>
  <c r="X27" i="21"/>
  <c r="V27" i="21"/>
  <c r="U27" i="21"/>
  <c r="T27" i="21"/>
  <c r="S27" i="21"/>
  <c r="X25" i="21"/>
  <c r="W25" i="21"/>
  <c r="V25" i="21"/>
  <c r="U25" i="21"/>
  <c r="T25" i="21"/>
  <c r="S25" i="21"/>
  <c r="X23" i="21"/>
  <c r="W23" i="21"/>
  <c r="V23" i="21"/>
  <c r="U23" i="21"/>
  <c r="T23" i="21"/>
  <c r="S23" i="21"/>
  <c r="D20" i="21"/>
  <c r="C20" i="21"/>
  <c r="D19" i="21"/>
  <c r="C19" i="21"/>
  <c r="D18" i="21"/>
  <c r="C18" i="21"/>
  <c r="C17" i="21"/>
  <c r="X10" i="21"/>
  <c r="W10" i="21"/>
  <c r="X9" i="21"/>
  <c r="W9" i="21"/>
  <c r="X8" i="21"/>
  <c r="W8" i="21"/>
  <c r="X7" i="21"/>
  <c r="W7" i="21"/>
  <c r="X6" i="21"/>
  <c r="W6" i="21"/>
  <c r="X5" i="21"/>
  <c r="W5" i="21"/>
  <c r="W4" i="21"/>
  <c r="V4" i="21"/>
  <c r="U4" i="21"/>
  <c r="E8" i="21" s="1"/>
  <c r="T4" i="21"/>
  <c r="S4" i="21"/>
  <c r="X3" i="21"/>
  <c r="W3" i="21"/>
  <c r="E18" i="9"/>
  <c r="E17" i="9" s="1"/>
  <c r="F18" i="9"/>
  <c r="F17" i="9" s="1"/>
  <c r="G18" i="9"/>
  <c r="H18" i="9"/>
  <c r="H17" i="9" s="1"/>
  <c r="G17" i="9"/>
  <c r="B19" i="9"/>
  <c r="C8" i="21" l="1"/>
  <c r="D14" i="21"/>
  <c r="E14" i="21"/>
  <c r="X4" i="21"/>
  <c r="F14" i="21"/>
  <c r="G14" i="21"/>
  <c r="H14" i="21"/>
  <c r="F8" i="21"/>
  <c r="D8" i="21"/>
  <c r="G8" i="21"/>
  <c r="H8" i="21"/>
  <c r="B47" i="9"/>
  <c r="M30" i="20"/>
  <c r="M29" i="20"/>
  <c r="M28" i="20"/>
  <c r="M26" i="20" s="1"/>
  <c r="M27" i="20"/>
  <c r="F16" i="9" l="1"/>
  <c r="E27" i="9"/>
  <c r="B63" i="9" l="1"/>
  <c r="B55" i="9"/>
  <c r="B3" i="9"/>
  <c r="B26" i="9"/>
  <c r="B21" i="9"/>
  <c r="F32" i="9"/>
  <c r="F31" i="9"/>
  <c r="F30" i="9"/>
  <c r="F29" i="9"/>
  <c r="F28" i="9"/>
  <c r="F27" i="9"/>
  <c r="H20" i="9"/>
  <c r="G20" i="9"/>
  <c r="F20" i="9"/>
  <c r="E20" i="9"/>
  <c r="C17"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scheme val="minor"/>
          </rPr>
          <t xml:space="preserve">Estimated, not measured experimentally.
</t>
        </r>
      </text>
    </comment>
  </commentList>
</comments>
</file>

<file path=xl/sharedStrings.xml><?xml version="1.0" encoding="utf-8"?>
<sst xmlns="http://schemas.openxmlformats.org/spreadsheetml/2006/main" count="419" uniqueCount="216">
  <si>
    <t>Effect of pyrolysis temperature on aromatic cluster size of cellulose char by quantitative multi cross-polarization 13C NMR with long range dipolar dephasing</t>
  </si>
  <si>
    <t>Sample</t>
  </si>
  <si>
    <t>Effect of Cellulose Crystallinity on Solid/Liquid Phase Reactions Responsible for the Formation of Carbonaceous Residues during Pyrolysis</t>
  </si>
  <si>
    <t>Cellulose</t>
  </si>
  <si>
    <t>Moisture (wt %)</t>
  </si>
  <si>
    <t>SA (CO2) m2/g</t>
  </si>
  <si>
    <t>N/A</t>
  </si>
  <si>
    <t>C (wt%)</t>
  </si>
  <si>
    <t>H (wt%)</t>
  </si>
  <si>
    <t>N (wt%)</t>
  </si>
  <si>
    <t>O (wt%)</t>
  </si>
  <si>
    <t>Ash (wt%)</t>
  </si>
  <si>
    <t>&lt;0.1</t>
  </si>
  <si>
    <t>Brighead</t>
  </si>
  <si>
    <t>O-H</t>
  </si>
  <si>
    <t>Alcohols</t>
  </si>
  <si>
    <t>Nearly Complete loss of these groups</t>
  </si>
  <si>
    <t>Acids</t>
  </si>
  <si>
    <t>C=O</t>
  </si>
  <si>
    <t>Esters</t>
  </si>
  <si>
    <t>C-O</t>
  </si>
  <si>
    <t>Aromatics</t>
  </si>
  <si>
    <t>Visible</t>
  </si>
  <si>
    <t>C=C</t>
  </si>
  <si>
    <t>Aliphatics</t>
  </si>
  <si>
    <t>O-C (Aromatic) O1s Deconvolution (atomic %)</t>
  </si>
  <si>
    <t>O-C (Aliphatic) O1s Deconvolution (atomic %)</t>
  </si>
  <si>
    <t>C=O O1s Deconvolution (atomic %)</t>
  </si>
  <si>
    <t>O2/H2O O1s Deconvolution (atomic %)</t>
  </si>
  <si>
    <t>Deconvolution Peaks (%)</t>
  </si>
  <si>
    <t>C-C Low</t>
  </si>
  <si>
    <t>C-C Primary</t>
  </si>
  <si>
    <t>C-C High</t>
  </si>
  <si>
    <t>O-C-O/C=O</t>
  </si>
  <si>
    <t>O-C-O estimated</t>
  </si>
  <si>
    <t>COO</t>
  </si>
  <si>
    <t>C:O (C1s) (Qualitative)</t>
  </si>
  <si>
    <t>Carbonyl</t>
  </si>
  <si>
    <t>Carboxyl/lactone</t>
  </si>
  <si>
    <t>Ether</t>
  </si>
  <si>
    <t>Defect</t>
  </si>
  <si>
    <t>Aromatic</t>
  </si>
  <si>
    <t>Aliphatic</t>
  </si>
  <si>
    <t>C-H</t>
  </si>
  <si>
    <t>C-(2)-H</t>
  </si>
  <si>
    <t>C(-3)-H</t>
  </si>
  <si>
    <t>&lt;1</t>
  </si>
  <si>
    <t>Ether/hydroxyl bonded carbons</t>
  </si>
  <si>
    <t>-</t>
  </si>
  <si>
    <t>C300</t>
  </si>
  <si>
    <t>C400</t>
  </si>
  <si>
    <t>C500</t>
  </si>
  <si>
    <t>C600</t>
  </si>
  <si>
    <t>C700</t>
  </si>
  <si>
    <t>Reference</t>
  </si>
  <si>
    <t>O/C (Molar, daf)</t>
  </si>
  <si>
    <t>H/C</t>
  </si>
  <si>
    <t>Additional Properties</t>
  </si>
  <si>
    <t>Average Pore diameter (nm)</t>
  </si>
  <si>
    <t>Average cluster size (number of carbons)</t>
  </si>
  <si>
    <t>Approximate porosity (%)</t>
  </si>
  <si>
    <t>This work</t>
  </si>
  <si>
    <t>Biochar yield</t>
  </si>
  <si>
    <t>Glucosa (Brodowski et al., 2005)</t>
  </si>
  <si>
    <t>B2CA</t>
  </si>
  <si>
    <t>B3CA</t>
  </si>
  <si>
    <t>B4CA</t>
  </si>
  <si>
    <t>B5CA</t>
  </si>
  <si>
    <t>B6CA</t>
  </si>
  <si>
    <t>DHE( 0 for all hydroxyl and 1 for all ether)</t>
  </si>
  <si>
    <t>DCL( 0 for all carboxyl and 1 for all lactone)</t>
  </si>
  <si>
    <t>Ref</t>
  </si>
  <si>
    <t>Title</t>
  </si>
  <si>
    <t>doi</t>
  </si>
  <si>
    <t>https://doi.org/10.1016/j.carbon.2016.01.031</t>
  </si>
  <si>
    <t xml:space="preserve">Structural analysis of char by Raman spectroscopy: Improving band assignments through computational calculations from first principles </t>
  </si>
  <si>
    <t xml:space="preserve">Improving the deconvolution and interpretation of XPS spectra from chars by ab initio calculations </t>
  </si>
  <si>
    <t>https://doi.org/10.1016/j.carbon.2016.09.012</t>
  </si>
  <si>
    <t>Figure 1. Experimental Raman spectra of chars produced from cellulose at different temperatures. All data were collected using a 532-nm incident light (Smith M. et al., 2016a).</t>
  </si>
  <si>
    <t>Figure 3.  FT-IR transmittance for a thermoseries of cellulose chars produced at temperatures from 300 °C to 700 °C. Dash lines indicate important regions of the various spectra (Smith M. et al., 2016b).</t>
  </si>
  <si>
    <t>Figure 2b. Development of (A) C1s and (B) O1s XPS spectra with increasing pyrolysis temperature (Smith M. et al., 2016b).</t>
  </si>
  <si>
    <t>https://doi.org/10.1016/j.carbon.2017.01.078</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</si>
  <si>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</si>
  <si>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2a. Comparison of the wide-scan XPS results for Avicel cellulose and the resultant chars (Smith M. et al., 2016b).</t>
  </si>
  <si>
    <t xml:space="preserve">Figure 7. Electron spin resonance spectra of cellulose chars. </t>
  </si>
  <si>
    <t>a)</t>
  </si>
  <si>
    <t>c)</t>
  </si>
  <si>
    <t>d)</t>
  </si>
  <si>
    <t>b)</t>
  </si>
  <si>
    <t>Figure 8. LDI FTICR-MS results, a) C400, b) C500, c) C600, and d) C700.</t>
  </si>
  <si>
    <t>ESR g-factor</t>
  </si>
  <si>
    <t>ESR radical concentration (spin/g)</t>
  </si>
  <si>
    <r>
      <rPr>
        <i/>
        <sz val="12"/>
        <color theme="1"/>
        <rFont val="Times New Roman"/>
        <family val="1"/>
      </rPr>
      <t xml:space="preserve">v </t>
    </r>
    <r>
      <rPr>
        <sz val="12"/>
        <color theme="1"/>
        <rFont val="Times New Roman"/>
        <family val="1"/>
      </rPr>
      <t>(GHz)</t>
    </r>
  </si>
  <si>
    <r>
      <t>B</t>
    </r>
    <r>
      <rPr>
        <vertAlign val="subscript"/>
        <sz val="12"/>
        <color theme="1"/>
        <rFont val="Times New Roman"/>
        <family val="1"/>
      </rPr>
      <t>0</t>
    </r>
    <r>
      <rPr>
        <sz val="12"/>
        <color theme="1"/>
        <rFont val="Times New Roman"/>
        <family val="1"/>
      </rPr>
      <t xml:space="preserve"> (mT)</t>
    </r>
  </si>
  <si>
    <t>(Smith M. et al., 2016b)</t>
  </si>
  <si>
    <t>(Smith, M. et al., 2017b )</t>
  </si>
  <si>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</si>
  <si>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</si>
  <si>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</si>
  <si>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</si>
  <si>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</si>
  <si>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</si>
  <si>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</si>
  <si>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(Smith, M. et al., 2017a)</t>
  </si>
  <si>
    <t>Figure 5. Changes in Char multi-CP 13C NMR spectra with temperature (Smith, M. et al., 2017a)</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</si>
  <si>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</si>
  <si>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https://doi.org/10.1016/J.BIOMBIOE.2017.05.015</t>
  </si>
  <si>
    <t>Chemical and Morphological Evaluation of Chars Produced from Primary Biomass Constituents: Cellulose, Xylan, and Lignin</t>
  </si>
  <si>
    <t>Smith, M. et al., 2017b</t>
  </si>
  <si>
    <t>Smith, M. et al., 2016a</t>
  </si>
  <si>
    <t>Smith, M. et al., 2016b</t>
  </si>
  <si>
    <t>Smith, M. et al., 2017a</t>
  </si>
  <si>
    <t>Wang, Z. et al., 2014</t>
  </si>
  <si>
    <t>https://doi.org/10.1021/IE4014259</t>
  </si>
  <si>
    <t>(Smith, M. et al., 2016b; Wang., Z. et al., 2014)</t>
  </si>
  <si>
    <t>(Smith, M. et al., 2016b)</t>
  </si>
  <si>
    <t>mellitic acid</t>
  </si>
  <si>
    <t>benzenepentacarboxylic acid</t>
  </si>
  <si>
    <t>1,2,4,5-</t>
  </si>
  <si>
    <t>pyromellitic acid</t>
  </si>
  <si>
    <t>1,2,3,4-</t>
  </si>
  <si>
    <t>prehnitic acid</t>
  </si>
  <si>
    <t>1,2,3,5-</t>
  </si>
  <si>
    <t>mellophanic acid</t>
  </si>
  <si>
    <t>1,3,5-</t>
  </si>
  <si>
    <t>trimesic acid</t>
  </si>
  <si>
    <t>1,2,4-</t>
  </si>
  <si>
    <t>trimellictic acid</t>
  </si>
  <si>
    <t>1,2,3-</t>
  </si>
  <si>
    <t>hemimellictic acid</t>
  </si>
  <si>
    <t>1,4-</t>
  </si>
  <si>
    <t>terephthalic acid</t>
  </si>
  <si>
    <t>1,3-</t>
  </si>
  <si>
    <t>isophthalic acid</t>
  </si>
  <si>
    <t>1,2-</t>
  </si>
  <si>
    <t>phthalic acid</t>
  </si>
  <si>
    <t>benzoic acid</t>
  </si>
  <si>
    <t>B1CA</t>
  </si>
  <si>
    <t>Retention time HPLC (min)</t>
  </si>
  <si>
    <r>
      <t>Molecular Weight (g mol</t>
    </r>
    <r>
      <rPr>
        <b/>
        <vertAlign val="superscript"/>
        <sz val="12"/>
        <color theme="1"/>
        <rFont val="Times New Roman"/>
        <family val="1"/>
      </rPr>
      <t>-1</t>
    </r>
    <r>
      <rPr>
        <b/>
        <sz val="12"/>
        <color theme="1"/>
        <rFont val="Times New Roman"/>
        <family val="1"/>
      </rPr>
      <t>)</t>
    </r>
  </si>
  <si>
    <t>Carboxyl position</t>
  </si>
  <si>
    <t>Name</t>
  </si>
  <si>
    <t>BPCA type</t>
  </si>
  <si>
    <t>Standard Curve</t>
  </si>
  <si>
    <t>Trimellitic</t>
  </si>
  <si>
    <t>B2CA-1</t>
  </si>
  <si>
    <t>Hemimellitic</t>
  </si>
  <si>
    <t>B3CA-2</t>
  </si>
  <si>
    <t>Mellophanic</t>
  </si>
  <si>
    <t>Pyromellitic</t>
  </si>
  <si>
    <t>B4CA-2</t>
  </si>
  <si>
    <t>Prehnitic</t>
  </si>
  <si>
    <t>B4CA-3</t>
  </si>
  <si>
    <t>Benzenepentacarcoxylic</t>
  </si>
  <si>
    <t>Mellitic</t>
  </si>
  <si>
    <t>Standard error</t>
  </si>
  <si>
    <t>Acid Name</t>
  </si>
  <si>
    <t>BPCA</t>
  </si>
  <si>
    <t xml:space="preserve">Figure 9. BPCA yields. </t>
  </si>
  <si>
    <t>Figure 10. BPCA HPLC spectra, a) C400, b) C500, c) C600, and d) C700.</t>
  </si>
  <si>
    <t>Trimellitic acid / B2CA-1</t>
  </si>
  <si>
    <t>Hemimellitic acid/ B3CA-2</t>
  </si>
  <si>
    <t>Mellophanic acid / B3CA-2</t>
  </si>
  <si>
    <t>Pyromellitic acid / B4CA-2</t>
  </si>
  <si>
    <t>Prhenitic acid / B4CA-3</t>
  </si>
  <si>
    <t>Benzenepentacarcoxylic acid / B5CA</t>
  </si>
  <si>
    <t>Mellitic acid /B6CA</t>
  </si>
  <si>
    <t>Helium Density (g/L)</t>
  </si>
  <si>
    <t>Aromatic and defective carbons</t>
  </si>
  <si>
    <t>C-O-H</t>
  </si>
  <si>
    <t>Contribution of various C-H bond distances Quantitative data (%) ––Estimated using DFT</t>
  </si>
  <si>
    <t>Error after inclusion of functional groups in pymol</t>
  </si>
  <si>
    <t>C</t>
  </si>
  <si>
    <t>H</t>
  </si>
  <si>
    <t>N</t>
  </si>
  <si>
    <t>O</t>
  </si>
  <si>
    <t>O/C</t>
  </si>
  <si>
    <t>Element</t>
  </si>
  <si>
    <t>Molecular weigth</t>
  </si>
  <si>
    <t>C400-m</t>
  </si>
  <si>
    <t>C500-m</t>
  </si>
  <si>
    <t xml:space="preserve">N </t>
  </si>
  <si>
    <t>Average error %</t>
  </si>
  <si>
    <t>C600-m</t>
  </si>
  <si>
    <t>Carb</t>
  </si>
  <si>
    <t>Carbox</t>
  </si>
  <si>
    <t>Ethe</t>
  </si>
  <si>
    <t>Alip</t>
  </si>
  <si>
    <t>Def</t>
  </si>
  <si>
    <t>C700-m</t>
  </si>
  <si>
    <t>Standard deviation</t>
  </si>
  <si>
    <t>Model size</t>
  </si>
  <si>
    <t>MW</t>
  </si>
  <si>
    <t>Carboxyl</t>
  </si>
  <si>
    <t>Obtained using xyz files in VMD (https://www.ks.uiuc.edu/Research/vmd/)</t>
  </si>
  <si>
    <t>r (Å)</t>
  </si>
  <si>
    <t>g(r)</t>
  </si>
  <si>
    <t>Integral g(r)</t>
  </si>
  <si>
    <t>Obtained using xyz files in Poreblazer https://github.com/SarkisovGitHub/PoreBlazer</t>
  </si>
  <si>
    <t>-dV(r)/dr</t>
  </si>
  <si>
    <t>d (Å)</t>
  </si>
  <si>
    <t>Coordination</t>
  </si>
  <si>
    <t>Count</t>
  </si>
  <si>
    <t>C700 Model</t>
  </si>
  <si>
    <t>Cluster size</t>
  </si>
  <si>
    <t>Center of mass</t>
  </si>
  <si>
    <t xml:space="preserve">These vibrations are most likely related to esters and lactones. </t>
  </si>
  <si>
    <t xml:space="preserve"> Indicating the formation of ether or ester like groups within the aromatic structures</t>
  </si>
  <si>
    <t>Bond-based mode, two particles are considered connected if there exists a bond between them. Particles not connected to any other particle will each form a single-particle cluster by itself.</t>
  </si>
  <si>
    <t>Low</t>
  </si>
  <si>
    <t>High</t>
  </si>
  <si>
    <t>Data obtained using the XYZ files in OVITO (https://www.ovito.org/manual/reference/pipelines/modifiers/cluster_analysis.html)</t>
  </si>
  <si>
    <t>Data obtained using the XYZ files in OVITO. Coordination calculated based on the partial RDFs for Carbon with a curoff radius of 4 (https://www.ovito.org/manual/reference/pipelines/modifiers/coordination_analysis.html)</t>
  </si>
  <si>
    <t>The coordination number reveals the count of molecules within the vicinity of each coordination sphere. A coordination number of 12 signifies the ideal packing of hard spheres.</t>
  </si>
  <si>
    <t xml:space="preserve">By integrating g(r) in spherical coordinates up to the first minimum of the RDF, one can determine the coordination number of a molecule. </t>
  </si>
  <si>
    <t>Closeness of coordination neighbors for C700 Model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</si>
</sst>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0000"/>
    <numFmt numFmtId="165" formatCode="0.0"/>
    <numFmt numFmtId="166" formatCode="0.000"/>
    <numFmt numFmtId="167" formatCode="0.00000"/>
    <numFmt numFmtId="168" formatCode="0.000000000000"/>
  </numFmts>
  <fonts count="27"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rgb="FF000000"/>
      <name val="Calibri"/>
      <family val="2"/>
      <scheme val="minor"/>
    </font>
    <font>
      <sz val="10"/>
      <color theme="1"/>
      <name val="Times New Roman"/>
      <family val="1"/>
    </font>
    <font>
      <b/>
      <sz val="10"/>
      <color rgb="FF000000"/>
      <name val="Times New Roman"/>
      <family val="1"/>
    </font>
    <font>
      <b/>
      <sz val="10"/>
      <color theme="1"/>
      <name val="Times New Roman"/>
      <family val="1"/>
    </font>
    <font>
      <sz val="10"/>
      <color rgb="FF000000"/>
      <name val="Times New Roman"/>
      <family val="1"/>
    </font>
    <font>
      <sz val="10"/>
      <color rgb="FFFF0000"/>
      <name val="Times New Roman"/>
      <family val="1"/>
    </font>
    <font>
      <b/>
      <sz val="10"/>
      <color rgb="FFFF0000"/>
      <name val="Times New Roman"/>
      <family val="1"/>
    </font>
    <font>
      <sz val="12"/>
      <color rgb="FFFF0000"/>
      <name val="Times New Roman"/>
      <family val="1"/>
    </font>
  </fonts>
  <fills count="8">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
      <patternFill patternType="solid">
        <fgColor theme="8" tint="0.79998168889431442"/>
        <bgColor indexed="64"/>
      </patternFill>
    </fill>
    <fill>
      <patternFill patternType="solid">
        <fgColor theme="9" tint="0.79998168889431442"/>
        <bgColor indexed="64"/>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111">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166" fontId="5" fillId="2" borderId="0" xfId="0" applyNumberFormat="1" applyFont="1" applyFill="1"/>
    <xf numFmtId="165"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20" fillId="0" borderId="0" xfId="0" applyFont="1"/>
    <xf numFmtId="166" fontId="20" fillId="0" borderId="0" xfId="0" applyNumberFormat="1" applyFont="1"/>
    <xf numFmtId="2" fontId="23" fillId="0" borderId="0" xfId="0" applyNumberFormat="1" applyFont="1" applyAlignment="1">
      <alignment vertical="center"/>
    </xf>
    <xf numFmtId="2" fontId="20" fillId="0" borderId="0" xfId="0" applyNumberFormat="1" applyFont="1" applyAlignment="1">
      <alignment vertical="center" wrapText="1"/>
    </xf>
    <xf numFmtId="2" fontId="20" fillId="0" borderId="0" xfId="0" applyNumberFormat="1" applyFont="1"/>
    <xf numFmtId="2" fontId="20" fillId="0" borderId="0" xfId="0" applyNumberFormat="1" applyFont="1" applyAlignment="1">
      <alignment vertical="center"/>
    </xf>
    <xf numFmtId="0" fontId="20" fillId="0" borderId="0" xfId="0" applyFont="1" applyAlignment="1">
      <alignment horizontal="right"/>
    </xf>
    <xf numFmtId="2" fontId="20" fillId="0" borderId="0" xfId="0" applyNumberFormat="1" applyFont="1" applyAlignment="1">
      <alignment horizontal="right"/>
    </xf>
    <xf numFmtId="165" fontId="23" fillId="0" borderId="0" xfId="0" applyNumberFormat="1" applyFont="1" applyAlignment="1">
      <alignment horizontal="right" vertical="center"/>
    </xf>
    <xf numFmtId="165" fontId="20" fillId="0" borderId="0" xfId="0" applyNumberFormat="1" applyFont="1" applyAlignment="1">
      <alignment horizontal="right" vertical="center" wrapText="1"/>
    </xf>
    <xf numFmtId="165" fontId="20" fillId="0" borderId="0" xfId="0" applyNumberFormat="1" applyFont="1" applyAlignment="1">
      <alignment horizontal="right"/>
    </xf>
    <xf numFmtId="165" fontId="20" fillId="0" borderId="0" xfId="0" applyNumberFormat="1" applyFont="1" applyAlignment="1">
      <alignment horizontal="right" vertical="center"/>
    </xf>
    <xf numFmtId="0" fontId="5" fillId="6" borderId="0" xfId="0" applyFont="1" applyFill="1"/>
    <xf numFmtId="0" fontId="7" fillId="6" borderId="0" xfId="0" applyFont="1" applyFill="1"/>
    <xf numFmtId="0" fontId="22" fillId="3" borderId="0" xfId="0" applyFont="1" applyFill="1"/>
    <xf numFmtId="0" fontId="20" fillId="2" borderId="0" xfId="0" applyFont="1" applyFill="1"/>
    <xf numFmtId="166" fontId="20" fillId="2" borderId="0" xfId="0" applyNumberFormat="1" applyFont="1" applyFill="1"/>
    <xf numFmtId="0" fontId="21" fillId="2" borderId="0" xfId="0" applyFont="1" applyFill="1" applyAlignment="1">
      <alignment vertical="center"/>
    </xf>
    <xf numFmtId="0" fontId="20" fillId="2" borderId="0" xfId="0" applyFont="1" applyFill="1" applyAlignment="1">
      <alignment horizontal="center"/>
    </xf>
    <xf numFmtId="2" fontId="20" fillId="2" borderId="0" xfId="0" applyNumberFormat="1" applyFont="1" applyFill="1" applyAlignment="1">
      <alignment horizontal="right"/>
    </xf>
    <xf numFmtId="0" fontId="20" fillId="2" borderId="0" xfId="0" applyFont="1" applyFill="1" applyAlignment="1">
      <alignment horizontal="right"/>
    </xf>
    <xf numFmtId="2" fontId="20" fillId="2" borderId="0" xfId="0" applyNumberFormat="1" applyFont="1" applyFill="1"/>
    <xf numFmtId="0" fontId="23" fillId="2" borderId="0" xfId="0" applyFont="1" applyFill="1" applyAlignment="1">
      <alignment horizontal="right" vertical="center"/>
    </xf>
    <xf numFmtId="165" fontId="23" fillId="2" borderId="0" xfId="0" applyNumberFormat="1" applyFont="1" applyFill="1" applyAlignment="1">
      <alignment horizontal="right" vertical="center"/>
    </xf>
    <xf numFmtId="167" fontId="20" fillId="2" borderId="0" xfId="0" applyNumberFormat="1" applyFont="1" applyFill="1"/>
    <xf numFmtId="1" fontId="20" fillId="2" borderId="0" xfId="0" applyNumberFormat="1" applyFont="1" applyFill="1"/>
    <xf numFmtId="168" fontId="20" fillId="2" borderId="0" xfId="0" applyNumberFormat="1" applyFont="1" applyFill="1"/>
    <xf numFmtId="0" fontId="22" fillId="2" borderId="0" xfId="0" applyFont="1" applyFill="1" applyAlignment="1">
      <alignment horizontal="center"/>
    </xf>
    <xf numFmtId="0" fontId="22" fillId="2" borderId="0" xfId="0" applyFont="1" applyFill="1" applyAlignment="1">
      <alignment horizontal="center" wrapText="1"/>
    </xf>
    <xf numFmtId="0" fontId="20" fillId="2" borderId="0" xfId="0" applyFont="1" applyFill="1" applyAlignment="1">
      <alignment horizontal="center" vertical="center"/>
    </xf>
    <xf numFmtId="0" fontId="20" fillId="2" borderId="0" xfId="0" applyFont="1" applyFill="1" applyAlignment="1">
      <alignment horizontal="center" vertical="center" wrapText="1"/>
    </xf>
    <xf numFmtId="0" fontId="24" fillId="2" borderId="0" xfId="0" applyFont="1" applyFill="1" applyAlignment="1">
      <alignment horizontal="center" vertical="center" wrapText="1"/>
    </xf>
    <xf numFmtId="0" fontId="20" fillId="2" borderId="0" xfId="0" applyFont="1" applyFill="1" applyAlignment="1">
      <alignment horizontal="left"/>
    </xf>
    <xf numFmtId="0" fontId="20" fillId="6" borderId="0" xfId="0" applyFont="1" applyFill="1" applyAlignment="1">
      <alignment horizontal="center"/>
    </xf>
    <xf numFmtId="166" fontId="20" fillId="6" borderId="0" xfId="0" applyNumberFormat="1" applyFont="1" applyFill="1" applyAlignment="1">
      <alignment horizontal="center"/>
    </xf>
    <xf numFmtId="0" fontId="20" fillId="6" borderId="0" xfId="0" applyFont="1" applyFill="1"/>
    <xf numFmtId="0" fontId="20" fillId="6" borderId="0" xfId="0" applyFont="1" applyFill="1" applyAlignment="1">
      <alignment vertical="center" wrapText="1"/>
    </xf>
    <xf numFmtId="0" fontId="24" fillId="6" borderId="0" xfId="0" applyFont="1" applyFill="1" applyAlignment="1">
      <alignment vertical="center" wrapText="1"/>
    </xf>
    <xf numFmtId="0" fontId="20" fillId="6" borderId="0" xfId="0" applyFont="1" applyFill="1" applyAlignment="1">
      <alignment horizontal="left"/>
    </xf>
    <xf numFmtId="0" fontId="20" fillId="6" borderId="0" xfId="0" applyFont="1" applyFill="1" applyAlignment="1">
      <alignment horizontal="left" vertical="center" wrapText="1"/>
    </xf>
    <xf numFmtId="0" fontId="6" fillId="2" borderId="0" xfId="0" applyFont="1" applyFill="1"/>
    <xf numFmtId="2" fontId="22" fillId="0" borderId="0" xfId="0" applyNumberFormat="1" applyFont="1"/>
    <xf numFmtId="0" fontId="22" fillId="0" borderId="0" xfId="0" applyFont="1"/>
    <xf numFmtId="2" fontId="25" fillId="0" borderId="0" xfId="0" applyNumberFormat="1" applyFont="1"/>
    <xf numFmtId="0" fontId="5" fillId="2" borderId="0" xfId="0" applyFont="1" applyFill="1" applyAlignment="1">
      <alignment vertical="center"/>
    </xf>
    <xf numFmtId="11" fontId="5" fillId="2" borderId="0" xfId="0" applyNumberFormat="1" applyFont="1" applyFill="1"/>
    <xf numFmtId="0" fontId="26" fillId="2" borderId="0" xfId="0" applyFont="1" applyFill="1"/>
    <xf numFmtId="1" fontId="20" fillId="0" borderId="0" xfId="0" applyNumberFormat="1" applyFont="1" applyAlignment="1">
      <alignment horizontal="right"/>
    </xf>
    <xf numFmtId="1" fontId="20" fillId="0" borderId="0" xfId="0" applyNumberFormat="1" applyFont="1"/>
    <xf numFmtId="0" fontId="5" fillId="2" borderId="3"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1" xfId="0" applyFont="1" applyFill="1" applyBorder="1" applyAlignment="1">
      <alignment horizontal="center" vertical="center" wrapText="1"/>
    </xf>
    <xf numFmtId="0" fontId="7" fillId="2" borderId="0" xfId="0" applyFont="1" applyFill="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vertical="top"/>
    </xf>
    <xf numFmtId="0" fontId="5" fillId="2" borderId="0" xfId="0" applyFont="1" applyFill="1" applyAlignment="1">
      <alignment horizontal="center" vertical="center"/>
    </xf>
    <xf numFmtId="0" fontId="5" fillId="2" borderId="0" xfId="0" applyFont="1" applyFill="1" applyAlignment="1">
      <alignment horizontal="center" wrapText="1"/>
    </xf>
    <xf numFmtId="0" fontId="16" fillId="5" borderId="0" xfId="2" applyFont="1" applyAlignment="1">
      <alignment horizontal="center"/>
    </xf>
    <xf numFmtId="0" fontId="6" fillId="2" borderId="2" xfId="0" applyFont="1" applyFill="1" applyBorder="1" applyAlignment="1">
      <alignment horizontal="center"/>
    </xf>
    <xf numFmtId="0" fontId="21" fillId="3" borderId="0" xfId="0" applyFont="1" applyFill="1" applyAlignment="1">
      <alignment horizontal="center" vertical="center"/>
    </xf>
    <xf numFmtId="0" fontId="20" fillId="3" borderId="0" xfId="0" applyFont="1" applyFill="1" applyAlignment="1">
      <alignment horizontal="center"/>
    </xf>
    <xf numFmtId="0" fontId="5" fillId="7" borderId="0" xfId="0" applyFont="1" applyFill="1" applyAlignment="1">
      <alignment horizontal="center"/>
    </xf>
    <xf numFmtId="0" fontId="5" fillId="3" borderId="0" xfId="0" applyFont="1" applyFill="1" applyAlignment="1">
      <alignment horizontal="center"/>
    </xf>
    <xf numFmtId="0" fontId="7" fillId="3" borderId="0" xfId="0" applyFont="1" applyFill="1" applyAlignment="1">
      <alignment horizontal="center"/>
    </xf>
    <xf numFmtId="0" fontId="6" fillId="2" borderId="0" xfId="0" applyFont="1" applyFill="1" applyAlignment="1">
      <alignment horizontal="center"/>
    </xf>
    <xf numFmtId="0" fontId="5" fillId="2" borderId="0" xfId="0" applyFont="1" applyFill="1" applyAlignment="1">
      <alignment vertical="center" wrapText="1"/>
    </xf>
    <xf numFmtId="0" fontId="6" fillId="2" borderId="0" xfId="0" applyFont="1" applyFill="1" applyAlignment="1"/>
    <xf numFmtId="0" fontId="5" fillId="2" borderId="0" xfId="0" applyFont="1" applyFill="1" applyAlignment="1">
      <alignment horizontal="left" vertical="top" wrapText="1"/>
    </xf>
    <xf numFmtId="0" fontId="5" fillId="2" borderId="0" xfId="0" applyFont="1" applyFill="1" applyAlignment="1">
      <alignment vertical="top" wrapText="1"/>
    </xf>
    <xf numFmtId="0" fontId="5" fillId="2" borderId="0" xfId="0" applyFont="1" applyFill="1" applyAlignment="1">
      <alignment horizontal="left" wrapText="1"/>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F9C0E6"/>
      <color rgb="FFD883FF"/>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r>
              <a:rPr lang="en-US" b="1"/>
              <a:t>Ultimate Analysis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endParaRPr lang="en-US"/>
        </a:p>
      </c:txPr>
    </c:title>
    <c:autoTitleDeleted val="0"/>
    <c:plotArea>
      <c:layout/>
      <c:barChart>
        <c:barDir val="col"/>
        <c:grouping val="stacked"/>
        <c:varyColors val="0"/>
        <c:ser>
          <c:idx val="0"/>
          <c:order val="0"/>
          <c:tx>
            <c:strRef>
              <c:f>AtomisticModel_Results!$S$2</c:f>
              <c:strCache>
                <c:ptCount val="1"/>
                <c:pt idx="0">
                  <c:v>C</c:v>
                </c:pt>
              </c:strCache>
            </c:strRef>
          </c:tx>
          <c:spPr>
            <a:solidFill>
              <a:srgbClr val="DD8047"/>
            </a:solidFill>
            <a:ln>
              <a:noFill/>
            </a:ln>
            <a:effectLst/>
          </c:spPr>
          <c:invertIfNegative val="0"/>
          <c:errBars>
            <c:errBarType val="both"/>
            <c:errValType val="cust"/>
            <c:noEndCap val="0"/>
            <c:plus>
              <c:numRef>
                <c:f>AtomisticModel_Results!$S$12:$S$19</c:f>
                <c:numCache>
                  <c:formatCode>General</c:formatCode>
                  <c:ptCount val="8"/>
                  <c:pt idx="0">
                    <c:v>0.28000000000000003</c:v>
                  </c:pt>
                  <c:pt idx="2">
                    <c:v>0.17</c:v>
                  </c:pt>
                  <c:pt idx="4">
                    <c:v>0.37</c:v>
                  </c:pt>
                  <c:pt idx="6">
                    <c:v>0.11</c:v>
                  </c:pt>
                </c:numCache>
              </c:numRef>
            </c:plus>
            <c:minus>
              <c:numRef>
                <c:f>AtomisticModel_Results!$S$12:$S$19</c:f>
                <c:numCache>
                  <c:formatCode>General</c:formatCode>
                  <c:ptCount val="8"/>
                  <c:pt idx="0">
                    <c:v>0.28000000000000003</c:v>
                  </c:pt>
                  <c:pt idx="2">
                    <c:v>0.17</c:v>
                  </c:pt>
                  <c:pt idx="4">
                    <c:v>0.37</c:v>
                  </c:pt>
                  <c:pt idx="6">
                    <c:v>0.11</c:v>
                  </c:pt>
                </c:numCache>
              </c:numRef>
            </c:minus>
            <c:spPr>
              <a:noFill/>
              <a:ln w="9525" cap="flat" cmpd="sng" algn="ctr">
                <a:solidFill>
                  <a:schemeClr val="tx1">
                    <a:lumMod val="65000"/>
                    <a:lumOff val="35000"/>
                  </a:schemeClr>
                </a:solidFill>
                <a:round/>
              </a:ln>
              <a:effectLst/>
            </c:spPr>
          </c:errBars>
          <c:cat>
            <c:strRef>
              <c:f>AtomisticModel_Results!$R$3:$R$10</c:f>
              <c:strCache>
                <c:ptCount val="8"/>
                <c:pt idx="0">
                  <c:v>C400</c:v>
                </c:pt>
                <c:pt idx="1">
                  <c:v>C400-m</c:v>
                </c:pt>
                <c:pt idx="2">
                  <c:v>C500</c:v>
                </c:pt>
                <c:pt idx="3">
                  <c:v>C500-m</c:v>
                </c:pt>
                <c:pt idx="4">
                  <c:v>C600</c:v>
                </c:pt>
                <c:pt idx="5">
                  <c:v>C600-m</c:v>
                </c:pt>
                <c:pt idx="6">
                  <c:v>C700</c:v>
                </c:pt>
                <c:pt idx="7">
                  <c:v>C700-m</c:v>
                </c:pt>
              </c:strCache>
            </c:strRef>
          </c:cat>
          <c:val>
            <c:numRef>
              <c:f>AtomisticModel_Results!$S$3:$S$10</c:f>
              <c:numCache>
                <c:formatCode>0.00</c:formatCode>
                <c:ptCount val="8"/>
                <c:pt idx="0">
                  <c:v>74.5</c:v>
                </c:pt>
                <c:pt idx="1">
                  <c:v>76.803040912273687</c:v>
                </c:pt>
                <c:pt idx="2">
                  <c:v>81.5</c:v>
                </c:pt>
                <c:pt idx="3">
                  <c:v>81.5</c:v>
                </c:pt>
                <c:pt idx="4">
                  <c:v>87.8</c:v>
                </c:pt>
                <c:pt idx="5">
                  <c:v>86.22</c:v>
                </c:pt>
                <c:pt idx="6">
                  <c:v>90.2</c:v>
                </c:pt>
                <c:pt idx="7">
                  <c:v>89.1</c:v>
                </c:pt>
              </c:numCache>
            </c:numRef>
          </c:val>
          <c:extLst>
            <c:ext xmlns:c16="http://schemas.microsoft.com/office/drawing/2014/chart" uri="{C3380CC4-5D6E-409C-BE32-E72D297353CC}">
              <c16:uniqueId val="{00000000-0632-4E4C-9167-3D5103D03E94}"/>
            </c:ext>
          </c:extLst>
        </c:ser>
        <c:ser>
          <c:idx val="1"/>
          <c:order val="1"/>
          <c:tx>
            <c:strRef>
              <c:f>AtomisticModel_Results!$T$2</c:f>
              <c:strCache>
                <c:ptCount val="1"/>
                <c:pt idx="0">
                  <c:v>H</c:v>
                </c:pt>
              </c:strCache>
            </c:strRef>
          </c:tx>
          <c:spPr>
            <a:solidFill>
              <a:schemeClr val="accent4"/>
            </a:solidFill>
            <a:ln>
              <a:noFill/>
            </a:ln>
            <a:effectLst/>
          </c:spPr>
          <c:invertIfNegative val="0"/>
          <c:errBars>
            <c:errBarType val="both"/>
            <c:errValType val="cust"/>
            <c:noEndCap val="0"/>
            <c:plus>
              <c:numRef>
                <c:f>AtomisticModel_Results!$T$12:$T$19</c:f>
                <c:numCache>
                  <c:formatCode>General</c:formatCode>
                  <c:ptCount val="8"/>
                  <c:pt idx="0">
                    <c:v>0.02</c:v>
                  </c:pt>
                  <c:pt idx="2">
                    <c:v>0.06</c:v>
                  </c:pt>
                  <c:pt idx="4">
                    <c:v>0.02</c:v>
                  </c:pt>
                  <c:pt idx="6">
                    <c:v>0.02</c:v>
                  </c:pt>
                </c:numCache>
              </c:numRef>
            </c:plus>
            <c:minus>
              <c:numRef>
                <c:f>AtomisticModel_Results!$T$12:$T$19</c:f>
                <c:numCache>
                  <c:formatCode>General</c:formatCode>
                  <c:ptCount val="8"/>
                  <c:pt idx="0">
                    <c:v>0.02</c:v>
                  </c:pt>
                  <c:pt idx="2">
                    <c:v>0.06</c:v>
                  </c:pt>
                  <c:pt idx="4">
                    <c:v>0.02</c:v>
                  </c:pt>
                  <c:pt idx="6">
                    <c:v>0.02</c:v>
                  </c:pt>
                </c:numCache>
              </c:numRef>
            </c:minus>
            <c:spPr>
              <a:noFill/>
              <a:ln w="9525" cap="flat" cmpd="sng" algn="ctr">
                <a:solidFill>
                  <a:schemeClr val="tx1">
                    <a:lumMod val="65000"/>
                    <a:lumOff val="35000"/>
                  </a:schemeClr>
                </a:solidFill>
                <a:round/>
              </a:ln>
              <a:effectLst/>
            </c:spPr>
          </c:errBars>
          <c:cat>
            <c:strRef>
              <c:f>AtomisticModel_Results!$R$3:$R$10</c:f>
              <c:strCache>
                <c:ptCount val="8"/>
                <c:pt idx="0">
                  <c:v>C400</c:v>
                </c:pt>
                <c:pt idx="1">
                  <c:v>C400-m</c:v>
                </c:pt>
                <c:pt idx="2">
                  <c:v>C500</c:v>
                </c:pt>
                <c:pt idx="3">
                  <c:v>C500-m</c:v>
                </c:pt>
                <c:pt idx="4">
                  <c:v>C600</c:v>
                </c:pt>
                <c:pt idx="5">
                  <c:v>C600-m</c:v>
                </c:pt>
                <c:pt idx="6">
                  <c:v>C700</c:v>
                </c:pt>
                <c:pt idx="7">
                  <c:v>C700-m</c:v>
                </c:pt>
              </c:strCache>
            </c:strRef>
          </c:cat>
          <c:val>
            <c:numRef>
              <c:f>AtomisticModel_Results!$T$3:$T$10</c:f>
              <c:numCache>
                <c:formatCode>0.00</c:formatCode>
                <c:ptCount val="8"/>
                <c:pt idx="0">
                  <c:v>3.9</c:v>
                </c:pt>
                <c:pt idx="1">
                  <c:v>4.0012003601080322</c:v>
                </c:pt>
                <c:pt idx="2">
                  <c:v>3.5</c:v>
                </c:pt>
                <c:pt idx="3">
                  <c:v>3.5</c:v>
                </c:pt>
                <c:pt idx="4">
                  <c:v>2.7</c:v>
                </c:pt>
                <c:pt idx="5">
                  <c:v>2.7</c:v>
                </c:pt>
                <c:pt idx="6">
                  <c:v>2</c:v>
                </c:pt>
                <c:pt idx="7">
                  <c:v>2</c:v>
                </c:pt>
              </c:numCache>
            </c:numRef>
          </c:val>
          <c:extLst>
            <c:ext xmlns:c16="http://schemas.microsoft.com/office/drawing/2014/chart" uri="{C3380CC4-5D6E-409C-BE32-E72D297353CC}">
              <c16:uniqueId val="{00000001-0632-4E4C-9167-3D5103D03E94}"/>
            </c:ext>
          </c:extLst>
        </c:ser>
        <c:ser>
          <c:idx val="2"/>
          <c:order val="2"/>
          <c:tx>
            <c:strRef>
              <c:f>AtomisticModel_Results!$U$2</c:f>
              <c:strCache>
                <c:ptCount val="1"/>
                <c:pt idx="0">
                  <c:v>N</c:v>
                </c:pt>
              </c:strCache>
            </c:strRef>
          </c:tx>
          <c:spPr>
            <a:solidFill>
              <a:schemeClr val="accent6"/>
            </a:solidFill>
            <a:ln>
              <a:noFill/>
            </a:ln>
            <a:effectLst/>
          </c:spPr>
          <c:invertIfNegative val="0"/>
          <c:cat>
            <c:strRef>
              <c:f>AtomisticModel_Results!$R$3:$R$10</c:f>
              <c:strCache>
                <c:ptCount val="8"/>
                <c:pt idx="0">
                  <c:v>C400</c:v>
                </c:pt>
                <c:pt idx="1">
                  <c:v>C400-m</c:v>
                </c:pt>
                <c:pt idx="2">
                  <c:v>C500</c:v>
                </c:pt>
                <c:pt idx="3">
                  <c:v>C500-m</c:v>
                </c:pt>
                <c:pt idx="4">
                  <c:v>C600</c:v>
                </c:pt>
                <c:pt idx="5">
                  <c:v>C600-m</c:v>
                </c:pt>
                <c:pt idx="6">
                  <c:v>C700</c:v>
                </c:pt>
                <c:pt idx="7">
                  <c:v>C700-m</c:v>
                </c:pt>
              </c:strCache>
            </c:strRef>
          </c:cat>
          <c:val>
            <c:numRef>
              <c:f>AtomisticModel_Results!$U$3:$U$10</c:f>
              <c:numCache>
                <c:formatCode>0.00</c:formatCode>
                <c:ptCount val="8"/>
                <c:pt idx="0">
                  <c:v>0.08</c:v>
                </c:pt>
                <c:pt idx="1">
                  <c:v>9.0027008102430736E-2</c:v>
                </c:pt>
                <c:pt idx="2">
                  <c:v>0.11</c:v>
                </c:pt>
                <c:pt idx="3">
                  <c:v>0.11</c:v>
                </c:pt>
                <c:pt idx="4">
                  <c:v>0.24</c:v>
                </c:pt>
                <c:pt idx="5">
                  <c:v>0.24</c:v>
                </c:pt>
                <c:pt idx="6">
                  <c:v>0.36</c:v>
                </c:pt>
                <c:pt idx="7">
                  <c:v>0.37</c:v>
                </c:pt>
              </c:numCache>
            </c:numRef>
          </c:val>
          <c:extLst>
            <c:ext xmlns:c16="http://schemas.microsoft.com/office/drawing/2014/chart" uri="{C3380CC4-5D6E-409C-BE32-E72D297353CC}">
              <c16:uniqueId val="{00000002-0632-4E4C-9167-3D5103D03E94}"/>
            </c:ext>
          </c:extLst>
        </c:ser>
        <c:ser>
          <c:idx val="3"/>
          <c:order val="3"/>
          <c:tx>
            <c:strRef>
              <c:f>AtomisticModel_Results!$V$2</c:f>
              <c:strCache>
                <c:ptCount val="1"/>
                <c:pt idx="0">
                  <c:v>O</c:v>
                </c:pt>
              </c:strCache>
            </c:strRef>
          </c:tx>
          <c:spPr>
            <a:solidFill>
              <a:schemeClr val="accent2">
                <a:lumMod val="60000"/>
              </a:schemeClr>
            </a:solidFill>
            <a:ln>
              <a:noFill/>
            </a:ln>
            <a:effectLst/>
          </c:spPr>
          <c:invertIfNegative val="0"/>
          <c:errBars>
            <c:errBarType val="both"/>
            <c:errValType val="cust"/>
            <c:noEndCap val="0"/>
            <c:plus>
              <c:numRef>
                <c:f>AtomisticModel_Results!$V$12:$V$18</c:f>
                <c:numCache>
                  <c:formatCode>General</c:formatCode>
                  <c:ptCount val="7"/>
                  <c:pt idx="0">
                    <c:v>0.18</c:v>
                  </c:pt>
                  <c:pt idx="2">
                    <c:v>0.13</c:v>
                  </c:pt>
                  <c:pt idx="4">
                    <c:v>0.4</c:v>
                  </c:pt>
                  <c:pt idx="6">
                    <c:v>0.12</c:v>
                  </c:pt>
                </c:numCache>
              </c:numRef>
            </c:plus>
            <c:minus>
              <c:numRef>
                <c:f>AtomisticModel_Results!$V$12:$V$18</c:f>
                <c:numCache>
                  <c:formatCode>General</c:formatCode>
                  <c:ptCount val="7"/>
                  <c:pt idx="0">
                    <c:v>0.18</c:v>
                  </c:pt>
                  <c:pt idx="2">
                    <c:v>0.13</c:v>
                  </c:pt>
                  <c:pt idx="4">
                    <c:v>0.4</c:v>
                  </c:pt>
                  <c:pt idx="6">
                    <c:v>0.12</c:v>
                  </c:pt>
                </c:numCache>
              </c:numRef>
            </c:minus>
            <c:spPr>
              <a:noFill/>
              <a:ln w="9525" cap="flat" cmpd="sng" algn="ctr">
                <a:solidFill>
                  <a:schemeClr val="tx1">
                    <a:lumMod val="65000"/>
                    <a:lumOff val="35000"/>
                  </a:schemeClr>
                </a:solidFill>
                <a:round/>
              </a:ln>
              <a:effectLst/>
            </c:spPr>
          </c:errBars>
          <c:cat>
            <c:strRef>
              <c:f>AtomisticModel_Results!$R$3:$R$10</c:f>
              <c:strCache>
                <c:ptCount val="8"/>
                <c:pt idx="0">
                  <c:v>C400</c:v>
                </c:pt>
                <c:pt idx="1">
                  <c:v>C400-m</c:v>
                </c:pt>
                <c:pt idx="2">
                  <c:v>C500</c:v>
                </c:pt>
                <c:pt idx="3">
                  <c:v>C500-m</c:v>
                </c:pt>
                <c:pt idx="4">
                  <c:v>C600</c:v>
                </c:pt>
                <c:pt idx="5">
                  <c:v>C600-m</c:v>
                </c:pt>
                <c:pt idx="6">
                  <c:v>C700</c:v>
                </c:pt>
                <c:pt idx="7">
                  <c:v>C700-m</c:v>
                </c:pt>
              </c:strCache>
            </c:strRef>
          </c:cat>
          <c:val>
            <c:numRef>
              <c:f>AtomisticModel_Results!$V$3:$V$10</c:f>
              <c:numCache>
                <c:formatCode>0.00</c:formatCode>
                <c:ptCount val="8"/>
                <c:pt idx="0">
                  <c:v>21.5</c:v>
                </c:pt>
                <c:pt idx="1">
                  <c:v>19.105731719515859</c:v>
                </c:pt>
                <c:pt idx="2">
                  <c:v>15</c:v>
                </c:pt>
                <c:pt idx="3">
                  <c:v>14.9</c:v>
                </c:pt>
                <c:pt idx="4">
                  <c:v>9.3000000000000007</c:v>
                </c:pt>
                <c:pt idx="5">
                  <c:v>10.9</c:v>
                </c:pt>
                <c:pt idx="6">
                  <c:v>7.5</c:v>
                </c:pt>
                <c:pt idx="7">
                  <c:v>8.6</c:v>
                </c:pt>
              </c:numCache>
            </c:numRef>
          </c:val>
          <c:extLst>
            <c:ext xmlns:c16="http://schemas.microsoft.com/office/drawing/2014/chart" uri="{C3380CC4-5D6E-409C-BE32-E72D297353CC}">
              <c16:uniqueId val="{00000003-0632-4E4C-9167-3D5103D03E94}"/>
            </c:ext>
          </c:extLst>
        </c:ser>
        <c:dLbls>
          <c:showLegendKey val="0"/>
          <c:showVal val="0"/>
          <c:showCatName val="0"/>
          <c:showSerName val="0"/>
          <c:showPercent val="0"/>
          <c:showBubbleSize val="0"/>
        </c:dLbls>
        <c:gapWidth val="150"/>
        <c:overlap val="100"/>
        <c:axId val="298207600"/>
        <c:axId val="298576176"/>
      </c:barChart>
      <c:catAx>
        <c:axId val="2982076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298576176"/>
        <c:crosses val="autoZero"/>
        <c:auto val="1"/>
        <c:lblAlgn val="ctr"/>
        <c:lblOffset val="100"/>
        <c:noMultiLvlLbl val="0"/>
      </c:catAx>
      <c:valAx>
        <c:axId val="298576176"/>
        <c:scaling>
          <c:orientation val="minMax"/>
          <c:max val="100"/>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2982076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r>
              <a:rPr lang="en-US" b="1"/>
              <a:t>NMR data</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endParaRPr lang="en-US"/>
        </a:p>
      </c:txPr>
    </c:title>
    <c:autoTitleDeleted val="0"/>
    <c:plotArea>
      <c:layout/>
      <c:barChart>
        <c:barDir val="col"/>
        <c:grouping val="stacked"/>
        <c:varyColors val="0"/>
        <c:ser>
          <c:idx val="0"/>
          <c:order val="0"/>
          <c:tx>
            <c:strRef>
              <c:f>AtomisticModel_Results!$S$21</c:f>
              <c:strCache>
                <c:ptCount val="1"/>
                <c:pt idx="0">
                  <c:v>Aromatic</c:v>
                </c:pt>
              </c:strCache>
            </c:strRef>
          </c:tx>
          <c:spPr>
            <a:solidFill>
              <a:schemeClr val="accent6"/>
            </a:solidFill>
            <a:ln>
              <a:noFill/>
            </a:ln>
            <a:effectLst/>
          </c:spPr>
          <c:invertIfNegative val="0"/>
          <c:cat>
            <c:strRef>
              <c:f>AtomisticModel_Results!$R$22:$R$29</c:f>
              <c:strCache>
                <c:ptCount val="8"/>
                <c:pt idx="0">
                  <c:v>C400</c:v>
                </c:pt>
                <c:pt idx="1">
                  <c:v>C400-m</c:v>
                </c:pt>
                <c:pt idx="2">
                  <c:v>C500</c:v>
                </c:pt>
                <c:pt idx="3">
                  <c:v>C500-m</c:v>
                </c:pt>
                <c:pt idx="4">
                  <c:v>C600</c:v>
                </c:pt>
                <c:pt idx="5">
                  <c:v>C600-m</c:v>
                </c:pt>
                <c:pt idx="6">
                  <c:v>C700</c:v>
                </c:pt>
                <c:pt idx="7">
                  <c:v>C700-m</c:v>
                </c:pt>
              </c:strCache>
            </c:strRef>
          </c:cat>
          <c:val>
            <c:numRef>
              <c:f>AtomisticModel_Results!$S$22:$S$29</c:f>
              <c:numCache>
                <c:formatCode>0.0</c:formatCode>
                <c:ptCount val="8"/>
                <c:pt idx="0">
                  <c:v>51</c:v>
                </c:pt>
                <c:pt idx="1">
                  <c:v>50.726141078838168</c:v>
                </c:pt>
                <c:pt idx="2">
                  <c:v>67.3</c:v>
                </c:pt>
                <c:pt idx="3">
                  <c:v>67.794871794871781</c:v>
                </c:pt>
                <c:pt idx="4">
                  <c:v>82</c:v>
                </c:pt>
                <c:pt idx="5">
                  <c:v>82.28744939271256</c:v>
                </c:pt>
                <c:pt idx="6">
                  <c:v>78</c:v>
                </c:pt>
                <c:pt idx="7">
                  <c:v>78.11860940695297</c:v>
                </c:pt>
              </c:numCache>
            </c:numRef>
          </c:val>
          <c:extLst>
            <c:ext xmlns:c16="http://schemas.microsoft.com/office/drawing/2014/chart" uri="{C3380CC4-5D6E-409C-BE32-E72D297353CC}">
              <c16:uniqueId val="{00000000-DEC2-0649-9B11-857FB1F5395A}"/>
            </c:ext>
          </c:extLst>
        </c:ser>
        <c:ser>
          <c:idx val="1"/>
          <c:order val="1"/>
          <c:tx>
            <c:strRef>
              <c:f>AtomisticModel_Results!$T$21</c:f>
              <c:strCache>
                <c:ptCount val="1"/>
                <c:pt idx="0">
                  <c:v>Carbonyl</c:v>
                </c:pt>
              </c:strCache>
            </c:strRef>
          </c:tx>
          <c:spPr>
            <a:solidFill>
              <a:schemeClr val="accent5"/>
            </a:solidFill>
            <a:ln>
              <a:noFill/>
            </a:ln>
            <a:effectLst/>
          </c:spPr>
          <c:invertIfNegative val="0"/>
          <c:cat>
            <c:strRef>
              <c:f>AtomisticModel_Results!$R$22:$R$29</c:f>
              <c:strCache>
                <c:ptCount val="8"/>
                <c:pt idx="0">
                  <c:v>C400</c:v>
                </c:pt>
                <c:pt idx="1">
                  <c:v>C400-m</c:v>
                </c:pt>
                <c:pt idx="2">
                  <c:v>C500</c:v>
                </c:pt>
                <c:pt idx="3">
                  <c:v>C500-m</c:v>
                </c:pt>
                <c:pt idx="4">
                  <c:v>C600</c:v>
                </c:pt>
                <c:pt idx="5">
                  <c:v>C600-m</c:v>
                </c:pt>
                <c:pt idx="6">
                  <c:v>C700</c:v>
                </c:pt>
                <c:pt idx="7">
                  <c:v>C700-m</c:v>
                </c:pt>
              </c:strCache>
            </c:strRef>
          </c:cat>
          <c:val>
            <c:numRef>
              <c:f>AtomisticModel_Results!$T$22:$T$29</c:f>
              <c:numCache>
                <c:formatCode>0.0</c:formatCode>
                <c:ptCount val="8"/>
                <c:pt idx="0">
                  <c:v>3</c:v>
                </c:pt>
                <c:pt idx="1">
                  <c:v>3.1120331950207465</c:v>
                </c:pt>
                <c:pt idx="2">
                  <c:v>2.2999999999999998</c:v>
                </c:pt>
                <c:pt idx="3">
                  <c:v>2.1538461538461537</c:v>
                </c:pt>
                <c:pt idx="4">
                  <c:v>1</c:v>
                </c:pt>
                <c:pt idx="5">
                  <c:v>0.91093117408906887</c:v>
                </c:pt>
                <c:pt idx="6">
                  <c:v>2</c:v>
                </c:pt>
                <c:pt idx="7">
                  <c:v>1.7382413087934561</c:v>
                </c:pt>
              </c:numCache>
            </c:numRef>
          </c:val>
          <c:extLst>
            <c:ext xmlns:c16="http://schemas.microsoft.com/office/drawing/2014/chart" uri="{C3380CC4-5D6E-409C-BE32-E72D297353CC}">
              <c16:uniqueId val="{00000001-DEC2-0649-9B11-857FB1F5395A}"/>
            </c:ext>
          </c:extLst>
        </c:ser>
        <c:ser>
          <c:idx val="2"/>
          <c:order val="2"/>
          <c:tx>
            <c:strRef>
              <c:f>AtomisticModel_Results!$U$21</c:f>
              <c:strCache>
                <c:ptCount val="1"/>
                <c:pt idx="0">
                  <c:v>Carboxyl</c:v>
                </c:pt>
              </c:strCache>
            </c:strRef>
          </c:tx>
          <c:spPr>
            <a:solidFill>
              <a:schemeClr val="accent4"/>
            </a:solidFill>
            <a:ln>
              <a:noFill/>
            </a:ln>
            <a:effectLst/>
          </c:spPr>
          <c:invertIfNegative val="0"/>
          <c:cat>
            <c:strRef>
              <c:f>AtomisticModel_Results!$R$22:$R$29</c:f>
              <c:strCache>
                <c:ptCount val="8"/>
                <c:pt idx="0">
                  <c:v>C400</c:v>
                </c:pt>
                <c:pt idx="1">
                  <c:v>C400-m</c:v>
                </c:pt>
                <c:pt idx="2">
                  <c:v>C500</c:v>
                </c:pt>
                <c:pt idx="3">
                  <c:v>C500-m</c:v>
                </c:pt>
                <c:pt idx="4">
                  <c:v>C600</c:v>
                </c:pt>
                <c:pt idx="5">
                  <c:v>C600-m</c:v>
                </c:pt>
                <c:pt idx="6">
                  <c:v>C700</c:v>
                </c:pt>
                <c:pt idx="7">
                  <c:v>C700-m</c:v>
                </c:pt>
              </c:strCache>
            </c:strRef>
          </c:cat>
          <c:val>
            <c:numRef>
              <c:f>AtomisticModel_Results!$U$22:$U$29</c:f>
              <c:numCache>
                <c:formatCode>0.0</c:formatCode>
                <c:ptCount val="8"/>
                <c:pt idx="0">
                  <c:v>5</c:v>
                </c:pt>
                <c:pt idx="1">
                  <c:v>5.1867219917012441</c:v>
                </c:pt>
                <c:pt idx="2">
                  <c:v>3.3</c:v>
                </c:pt>
                <c:pt idx="3">
                  <c:v>3.0769230769230771</c:v>
                </c:pt>
                <c:pt idx="4">
                  <c:v>3</c:v>
                </c:pt>
                <c:pt idx="5">
                  <c:v>2.7327935222672064</c:v>
                </c:pt>
                <c:pt idx="6">
                  <c:v>2</c:v>
                </c:pt>
                <c:pt idx="7">
                  <c:v>1.7382413087934561</c:v>
                </c:pt>
              </c:numCache>
            </c:numRef>
          </c:val>
          <c:extLst>
            <c:ext xmlns:c16="http://schemas.microsoft.com/office/drawing/2014/chart" uri="{C3380CC4-5D6E-409C-BE32-E72D297353CC}">
              <c16:uniqueId val="{00000002-DEC2-0649-9B11-857FB1F5395A}"/>
            </c:ext>
          </c:extLst>
        </c:ser>
        <c:ser>
          <c:idx val="3"/>
          <c:order val="3"/>
          <c:tx>
            <c:strRef>
              <c:f>AtomisticModel_Results!$V$21</c:f>
              <c:strCache>
                <c:ptCount val="1"/>
                <c:pt idx="0">
                  <c:v>Ether</c:v>
                </c:pt>
              </c:strCache>
            </c:strRef>
          </c:tx>
          <c:spPr>
            <a:solidFill>
              <a:schemeClr val="accent6">
                <a:lumMod val="60000"/>
              </a:schemeClr>
            </a:solidFill>
            <a:ln>
              <a:noFill/>
            </a:ln>
            <a:effectLst/>
          </c:spPr>
          <c:invertIfNegative val="0"/>
          <c:cat>
            <c:strRef>
              <c:f>AtomisticModel_Results!$R$22:$R$29</c:f>
              <c:strCache>
                <c:ptCount val="8"/>
                <c:pt idx="0">
                  <c:v>C400</c:v>
                </c:pt>
                <c:pt idx="1">
                  <c:v>C400-m</c:v>
                </c:pt>
                <c:pt idx="2">
                  <c:v>C500</c:v>
                </c:pt>
                <c:pt idx="3">
                  <c:v>C500-m</c:v>
                </c:pt>
                <c:pt idx="4">
                  <c:v>C600</c:v>
                </c:pt>
                <c:pt idx="5">
                  <c:v>C600-m</c:v>
                </c:pt>
                <c:pt idx="6">
                  <c:v>C700</c:v>
                </c:pt>
                <c:pt idx="7">
                  <c:v>C700-m</c:v>
                </c:pt>
              </c:strCache>
            </c:strRef>
          </c:cat>
          <c:val>
            <c:numRef>
              <c:f>AtomisticModel_Results!$V$22:$V$29</c:f>
              <c:numCache>
                <c:formatCode>0.0</c:formatCode>
                <c:ptCount val="8"/>
                <c:pt idx="0">
                  <c:v>10</c:v>
                </c:pt>
                <c:pt idx="1">
                  <c:v>10.373443983402488</c:v>
                </c:pt>
                <c:pt idx="2">
                  <c:v>12.3</c:v>
                </c:pt>
                <c:pt idx="3">
                  <c:v>11.384615384615385</c:v>
                </c:pt>
                <c:pt idx="4">
                  <c:v>7</c:v>
                </c:pt>
                <c:pt idx="5">
                  <c:v>6.3765182186234819</c:v>
                </c:pt>
                <c:pt idx="6">
                  <c:v>5</c:v>
                </c:pt>
                <c:pt idx="7">
                  <c:v>4.3967280163599183</c:v>
                </c:pt>
              </c:numCache>
            </c:numRef>
          </c:val>
          <c:extLst>
            <c:ext xmlns:c16="http://schemas.microsoft.com/office/drawing/2014/chart" uri="{C3380CC4-5D6E-409C-BE32-E72D297353CC}">
              <c16:uniqueId val="{00000003-DEC2-0649-9B11-857FB1F5395A}"/>
            </c:ext>
          </c:extLst>
        </c:ser>
        <c:ser>
          <c:idx val="4"/>
          <c:order val="4"/>
          <c:tx>
            <c:strRef>
              <c:f>AtomisticModel_Results!$W$21</c:f>
              <c:strCache>
                <c:ptCount val="1"/>
                <c:pt idx="0">
                  <c:v>Aliphatic</c:v>
                </c:pt>
              </c:strCache>
            </c:strRef>
          </c:tx>
          <c:spPr>
            <a:solidFill>
              <a:schemeClr val="accent5">
                <a:lumMod val="60000"/>
              </a:schemeClr>
            </a:solidFill>
            <a:ln>
              <a:noFill/>
            </a:ln>
            <a:effectLst/>
          </c:spPr>
          <c:invertIfNegative val="0"/>
          <c:cat>
            <c:strRef>
              <c:f>AtomisticModel_Results!$R$22:$R$29</c:f>
              <c:strCache>
                <c:ptCount val="8"/>
                <c:pt idx="0">
                  <c:v>C400</c:v>
                </c:pt>
                <c:pt idx="1">
                  <c:v>C400-m</c:v>
                </c:pt>
                <c:pt idx="2">
                  <c:v>C500</c:v>
                </c:pt>
                <c:pt idx="3">
                  <c:v>C500-m</c:v>
                </c:pt>
                <c:pt idx="4">
                  <c:v>C600</c:v>
                </c:pt>
                <c:pt idx="5">
                  <c:v>C600-m</c:v>
                </c:pt>
                <c:pt idx="6">
                  <c:v>C700</c:v>
                </c:pt>
                <c:pt idx="7">
                  <c:v>C700-m</c:v>
                </c:pt>
              </c:strCache>
            </c:strRef>
          </c:cat>
          <c:val>
            <c:numRef>
              <c:f>AtomisticModel_Results!$W$22:$W$29</c:f>
              <c:numCache>
                <c:formatCode>0.0</c:formatCode>
                <c:ptCount val="8"/>
                <c:pt idx="0">
                  <c:v>17</c:v>
                </c:pt>
                <c:pt idx="1">
                  <c:v>16.804979253112034</c:v>
                </c:pt>
                <c:pt idx="2">
                  <c:v>3.3</c:v>
                </c:pt>
                <c:pt idx="3">
                  <c:v>3.3846153846153846</c:v>
                </c:pt>
                <c:pt idx="4">
                  <c:v>0</c:v>
                </c:pt>
                <c:pt idx="5">
                  <c:v>0</c:v>
                </c:pt>
                <c:pt idx="6">
                  <c:v>0</c:v>
                </c:pt>
                <c:pt idx="7">
                  <c:v>0</c:v>
                </c:pt>
              </c:numCache>
            </c:numRef>
          </c:val>
          <c:extLst>
            <c:ext xmlns:c16="http://schemas.microsoft.com/office/drawing/2014/chart" uri="{C3380CC4-5D6E-409C-BE32-E72D297353CC}">
              <c16:uniqueId val="{00000004-DEC2-0649-9B11-857FB1F5395A}"/>
            </c:ext>
          </c:extLst>
        </c:ser>
        <c:ser>
          <c:idx val="5"/>
          <c:order val="5"/>
          <c:tx>
            <c:strRef>
              <c:f>AtomisticModel_Results!$X$21</c:f>
              <c:strCache>
                <c:ptCount val="1"/>
                <c:pt idx="0">
                  <c:v>Defect</c:v>
                </c:pt>
              </c:strCache>
            </c:strRef>
          </c:tx>
          <c:spPr>
            <a:solidFill>
              <a:schemeClr val="accent4">
                <a:lumMod val="60000"/>
              </a:schemeClr>
            </a:solidFill>
            <a:ln>
              <a:noFill/>
            </a:ln>
            <a:effectLst/>
          </c:spPr>
          <c:invertIfNegative val="0"/>
          <c:cat>
            <c:strRef>
              <c:f>AtomisticModel_Results!$R$22:$R$29</c:f>
              <c:strCache>
                <c:ptCount val="8"/>
                <c:pt idx="0">
                  <c:v>C400</c:v>
                </c:pt>
                <c:pt idx="1">
                  <c:v>C400-m</c:v>
                </c:pt>
                <c:pt idx="2">
                  <c:v>C500</c:v>
                </c:pt>
                <c:pt idx="3">
                  <c:v>C500-m</c:v>
                </c:pt>
                <c:pt idx="4">
                  <c:v>C600</c:v>
                </c:pt>
                <c:pt idx="5">
                  <c:v>C600-m</c:v>
                </c:pt>
                <c:pt idx="6">
                  <c:v>C700</c:v>
                </c:pt>
                <c:pt idx="7">
                  <c:v>C700-m</c:v>
                </c:pt>
              </c:strCache>
            </c:strRef>
          </c:cat>
          <c:val>
            <c:numRef>
              <c:f>AtomisticModel_Results!$X$22:$X$29</c:f>
              <c:numCache>
                <c:formatCode>0.0</c:formatCode>
                <c:ptCount val="8"/>
                <c:pt idx="0">
                  <c:v>14</c:v>
                </c:pt>
                <c:pt idx="1">
                  <c:v>13.79668049792531</c:v>
                </c:pt>
                <c:pt idx="2">
                  <c:v>11.3</c:v>
                </c:pt>
                <c:pt idx="3">
                  <c:v>12.205128205128204</c:v>
                </c:pt>
                <c:pt idx="4">
                  <c:v>7</c:v>
                </c:pt>
                <c:pt idx="5">
                  <c:v>7.6923076923076925</c:v>
                </c:pt>
                <c:pt idx="6">
                  <c:v>13</c:v>
                </c:pt>
                <c:pt idx="7">
                  <c:v>14.008179959100206</c:v>
                </c:pt>
              </c:numCache>
            </c:numRef>
          </c:val>
          <c:extLst>
            <c:ext xmlns:c16="http://schemas.microsoft.com/office/drawing/2014/chart" uri="{C3380CC4-5D6E-409C-BE32-E72D297353CC}">
              <c16:uniqueId val="{00000005-DEC2-0649-9B11-857FB1F5395A}"/>
            </c:ext>
          </c:extLst>
        </c:ser>
        <c:dLbls>
          <c:showLegendKey val="0"/>
          <c:showVal val="0"/>
          <c:showCatName val="0"/>
          <c:showSerName val="0"/>
          <c:showPercent val="0"/>
          <c:showBubbleSize val="0"/>
        </c:dLbls>
        <c:gapWidth val="150"/>
        <c:overlap val="100"/>
        <c:axId val="328986224"/>
        <c:axId val="328987936"/>
      </c:barChart>
      <c:catAx>
        <c:axId val="3289862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28987936"/>
        <c:crosses val="autoZero"/>
        <c:auto val="1"/>
        <c:lblAlgn val="ctr"/>
        <c:lblOffset val="100"/>
        <c:noMultiLvlLbl val="0"/>
      </c:catAx>
      <c:valAx>
        <c:axId val="328987936"/>
        <c:scaling>
          <c:orientation val="minMax"/>
          <c:max val="100"/>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289862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595972333347752"/>
          <c:y val="2.9574561156996197E-2"/>
          <c:w val="0.81631574797049977"/>
          <c:h val="0.84545501640442067"/>
        </c:manualLayout>
      </c:layout>
      <c:scatterChart>
        <c:scatterStyle val="smoothMarker"/>
        <c:varyColors val="0"/>
        <c:ser>
          <c:idx val="0"/>
          <c:order val="0"/>
          <c:tx>
            <c:v>C700</c:v>
          </c:tx>
          <c:spPr>
            <a:ln w="19050" cap="rnd">
              <a:solidFill>
                <a:srgbClr val="FFC000"/>
              </a:solidFill>
              <a:round/>
            </a:ln>
            <a:effectLst/>
          </c:spPr>
          <c:marker>
            <c:symbol val="none"/>
          </c:marker>
          <c:xVal>
            <c:numRef>
              <c:f>Total_PSD!$K$5:$K$182</c:f>
              <c:numCache>
                <c:formatCode>0.00E+00</c:formatCode>
                <c:ptCount val="178"/>
                <c:pt idx="0">
                  <c:v>2.50000004E-2</c:v>
                </c:pt>
                <c:pt idx="1">
                  <c:v>7.5000002999999996E-2</c:v>
                </c:pt>
                <c:pt idx="2" formatCode="General">
                  <c:v>0.125</c:v>
                </c:pt>
                <c:pt idx="3" formatCode="General">
                  <c:v>0.17499999699999999</c:v>
                </c:pt>
                <c:pt idx="4" formatCode="General">
                  <c:v>0.22499999400000001</c:v>
                </c:pt>
                <c:pt idx="5" formatCode="General">
                  <c:v>0.27500000600000002</c:v>
                </c:pt>
                <c:pt idx="6" formatCode="General">
                  <c:v>0.32499998800000002</c:v>
                </c:pt>
                <c:pt idx="7" formatCode="General">
                  <c:v>0.375</c:v>
                </c:pt>
                <c:pt idx="8" formatCode="General">
                  <c:v>0.42500001199999998</c:v>
                </c:pt>
                <c:pt idx="9" formatCode="General">
                  <c:v>0.47499999399999998</c:v>
                </c:pt>
                <c:pt idx="10" formatCode="General">
                  <c:v>0.525000036</c:v>
                </c:pt>
                <c:pt idx="11" formatCode="General">
                  <c:v>0.57500004800000004</c:v>
                </c:pt>
                <c:pt idx="12" formatCode="General">
                  <c:v>0.62500005999999997</c:v>
                </c:pt>
                <c:pt idx="13" formatCode="General">
                  <c:v>0.67500001200000004</c:v>
                </c:pt>
                <c:pt idx="14" formatCode="General">
                  <c:v>0.72500002399999997</c:v>
                </c:pt>
                <c:pt idx="15" formatCode="General">
                  <c:v>0.775000036</c:v>
                </c:pt>
                <c:pt idx="16" formatCode="General">
                  <c:v>0.82500004800000004</c:v>
                </c:pt>
                <c:pt idx="17" formatCode="General">
                  <c:v>0.87500005999999997</c:v>
                </c:pt>
                <c:pt idx="18" formatCode="General">
                  <c:v>0.92500001200000004</c:v>
                </c:pt>
                <c:pt idx="19" formatCode="General">
                  <c:v>0.97500002399999997</c:v>
                </c:pt>
                <c:pt idx="20" formatCode="General">
                  <c:v>1.0250001</c:v>
                </c:pt>
                <c:pt idx="21" formatCode="General">
                  <c:v>1.0750000500000001</c:v>
                </c:pt>
                <c:pt idx="22" formatCode="General">
                  <c:v>1.125</c:v>
                </c:pt>
                <c:pt idx="23" formatCode="General">
                  <c:v>1.1750000700000001</c:v>
                </c:pt>
                <c:pt idx="24" formatCode="General">
                  <c:v>1.22500002</c:v>
                </c:pt>
                <c:pt idx="25" formatCode="General">
                  <c:v>1.2750001</c:v>
                </c:pt>
                <c:pt idx="26" formatCode="General">
                  <c:v>1.3250000500000001</c:v>
                </c:pt>
                <c:pt idx="27" formatCode="General">
                  <c:v>1.375</c:v>
                </c:pt>
                <c:pt idx="28" formatCode="General">
                  <c:v>1.4250000700000001</c:v>
                </c:pt>
                <c:pt idx="29" formatCode="General">
                  <c:v>1.47500002</c:v>
                </c:pt>
                <c:pt idx="30" formatCode="General">
                  <c:v>1.5250001</c:v>
                </c:pt>
                <c:pt idx="31" formatCode="General">
                  <c:v>1.5750000500000001</c:v>
                </c:pt>
                <c:pt idx="32" formatCode="General">
                  <c:v>1.625</c:v>
                </c:pt>
                <c:pt idx="33" formatCode="General">
                  <c:v>1.6750000700000001</c:v>
                </c:pt>
                <c:pt idx="34" formatCode="General">
                  <c:v>1.72500002</c:v>
                </c:pt>
                <c:pt idx="35" formatCode="General">
                  <c:v>1.7750001</c:v>
                </c:pt>
                <c:pt idx="36" formatCode="General">
                  <c:v>1.8250000500000001</c:v>
                </c:pt>
                <c:pt idx="37" formatCode="General">
                  <c:v>1.875</c:v>
                </c:pt>
                <c:pt idx="38" formatCode="General">
                  <c:v>1.9250000700000001</c:v>
                </c:pt>
                <c:pt idx="39" formatCode="General">
                  <c:v>1.97500002</c:v>
                </c:pt>
                <c:pt idx="40" formatCode="General">
                  <c:v>2.0249998599999999</c:v>
                </c:pt>
                <c:pt idx="41" formatCode="General">
                  <c:v>2.0750000499999999</c:v>
                </c:pt>
                <c:pt idx="42" formatCode="General">
                  <c:v>2.125</c:v>
                </c:pt>
                <c:pt idx="43" formatCode="General">
                  <c:v>2.1749999500000001</c:v>
                </c:pt>
                <c:pt idx="44" formatCode="General">
                  <c:v>2.2249998999999998</c:v>
                </c:pt>
                <c:pt idx="45" formatCode="General">
                  <c:v>2.2749998599999999</c:v>
                </c:pt>
                <c:pt idx="46" formatCode="General">
                  <c:v>2.3250000499999999</c:v>
                </c:pt>
                <c:pt idx="47" formatCode="General">
                  <c:v>2.375</c:v>
                </c:pt>
                <c:pt idx="48" formatCode="General">
                  <c:v>2.4249999500000001</c:v>
                </c:pt>
                <c:pt idx="49" formatCode="General">
                  <c:v>2.4749998999999998</c:v>
                </c:pt>
                <c:pt idx="50" formatCode="General">
                  <c:v>2.5249998599999999</c:v>
                </c:pt>
                <c:pt idx="51" formatCode="General">
                  <c:v>2.5750000499999999</c:v>
                </c:pt>
                <c:pt idx="52" formatCode="General">
                  <c:v>2.625</c:v>
                </c:pt>
                <c:pt idx="53" formatCode="General">
                  <c:v>2.6749999500000001</c:v>
                </c:pt>
                <c:pt idx="54" formatCode="General">
                  <c:v>2.7249998999999998</c:v>
                </c:pt>
                <c:pt idx="55" formatCode="General">
                  <c:v>2.7749998599999999</c:v>
                </c:pt>
                <c:pt idx="56" formatCode="General">
                  <c:v>2.8250000499999999</c:v>
                </c:pt>
                <c:pt idx="57" formatCode="General">
                  <c:v>2.875</c:v>
                </c:pt>
                <c:pt idx="58" formatCode="General">
                  <c:v>2.9249999500000001</c:v>
                </c:pt>
                <c:pt idx="59" formatCode="General">
                  <c:v>2.9749998999999998</c:v>
                </c:pt>
                <c:pt idx="60" formatCode="General">
                  <c:v>3.0249998599999999</c:v>
                </c:pt>
                <c:pt idx="61" formatCode="General">
                  <c:v>3.0750000499999999</c:v>
                </c:pt>
                <c:pt idx="62" formatCode="General">
                  <c:v>3.125</c:v>
                </c:pt>
                <c:pt idx="63" formatCode="General">
                  <c:v>3.1749999500000001</c:v>
                </c:pt>
                <c:pt idx="64" formatCode="General">
                  <c:v>3.2249998999999998</c:v>
                </c:pt>
                <c:pt idx="65" formatCode="General">
                  <c:v>3.2749998599999999</c:v>
                </c:pt>
                <c:pt idx="66" formatCode="General">
                  <c:v>3.3250000499999999</c:v>
                </c:pt>
                <c:pt idx="67" formatCode="General">
                  <c:v>3.375</c:v>
                </c:pt>
                <c:pt idx="68" formatCode="General">
                  <c:v>3.4249999500000001</c:v>
                </c:pt>
                <c:pt idx="69" formatCode="General">
                  <c:v>3.4749998999999998</c:v>
                </c:pt>
                <c:pt idx="70" formatCode="General">
                  <c:v>3.5249998599999999</c:v>
                </c:pt>
                <c:pt idx="71" formatCode="General">
                  <c:v>3.5750000499999999</c:v>
                </c:pt>
                <c:pt idx="72" formatCode="General">
                  <c:v>3.625</c:v>
                </c:pt>
                <c:pt idx="73" formatCode="General">
                  <c:v>3.6749999500000001</c:v>
                </c:pt>
                <c:pt idx="74" formatCode="General">
                  <c:v>3.7249998999999998</c:v>
                </c:pt>
                <c:pt idx="75" formatCode="General">
                  <c:v>3.7749998599999999</c:v>
                </c:pt>
                <c:pt idx="76" formatCode="General">
                  <c:v>3.8250000499999999</c:v>
                </c:pt>
                <c:pt idx="77" formatCode="General">
                  <c:v>3.875</c:v>
                </c:pt>
                <c:pt idx="78" formatCode="General">
                  <c:v>3.9249999500000001</c:v>
                </c:pt>
                <c:pt idx="79" formatCode="General">
                  <c:v>3.9749998999999998</c:v>
                </c:pt>
                <c:pt idx="80" formatCode="General">
                  <c:v>4.0250000999999997</c:v>
                </c:pt>
                <c:pt idx="81" formatCode="General">
                  <c:v>4.0749998099999996</c:v>
                </c:pt>
                <c:pt idx="82" formatCode="General">
                  <c:v>4.125</c:v>
                </c:pt>
                <c:pt idx="83" formatCode="General">
                  <c:v>4.1750001900000004</c:v>
                </c:pt>
                <c:pt idx="84" formatCode="General">
                  <c:v>4.2249999000000003</c:v>
                </c:pt>
                <c:pt idx="85" formatCode="General">
                  <c:v>4.2750000999999997</c:v>
                </c:pt>
                <c:pt idx="86" formatCode="General">
                  <c:v>4.3249998099999996</c:v>
                </c:pt>
                <c:pt idx="87" formatCode="General">
                  <c:v>4.375</c:v>
                </c:pt>
                <c:pt idx="88" formatCode="General">
                  <c:v>4.4250001900000004</c:v>
                </c:pt>
                <c:pt idx="89" formatCode="General">
                  <c:v>4.4749999000000003</c:v>
                </c:pt>
                <c:pt idx="90" formatCode="General">
                  <c:v>4.5250000999999997</c:v>
                </c:pt>
                <c:pt idx="91" formatCode="General">
                  <c:v>4.5749998099999996</c:v>
                </c:pt>
                <c:pt idx="92" formatCode="General">
                  <c:v>4.625</c:v>
                </c:pt>
                <c:pt idx="93" formatCode="General">
                  <c:v>4.6750001900000004</c:v>
                </c:pt>
                <c:pt idx="94" formatCode="General">
                  <c:v>4.7249999000000003</c:v>
                </c:pt>
                <c:pt idx="95" formatCode="General">
                  <c:v>4.7750000999999997</c:v>
                </c:pt>
                <c:pt idx="96" formatCode="General">
                  <c:v>4.8249998099999996</c:v>
                </c:pt>
                <c:pt idx="97" formatCode="General">
                  <c:v>4.875</c:v>
                </c:pt>
                <c:pt idx="98" formatCode="General">
                  <c:v>4.9250001900000004</c:v>
                </c:pt>
                <c:pt idx="99" formatCode="General">
                  <c:v>4.9749999000000003</c:v>
                </c:pt>
                <c:pt idx="100" formatCode="General">
                  <c:v>5.0250000999999997</c:v>
                </c:pt>
                <c:pt idx="101" formatCode="General">
                  <c:v>5.0749998099999996</c:v>
                </c:pt>
                <c:pt idx="102" formatCode="General">
                  <c:v>5.125</c:v>
                </c:pt>
                <c:pt idx="103" formatCode="General">
                  <c:v>5.1750001900000004</c:v>
                </c:pt>
                <c:pt idx="104" formatCode="General">
                  <c:v>5.2249999000000003</c:v>
                </c:pt>
                <c:pt idx="105" formatCode="General">
                  <c:v>5.2750000999999997</c:v>
                </c:pt>
                <c:pt idx="106" formatCode="General">
                  <c:v>5.3249998099999996</c:v>
                </c:pt>
                <c:pt idx="107" formatCode="General">
                  <c:v>5.375</c:v>
                </c:pt>
                <c:pt idx="108" formatCode="General">
                  <c:v>5.4250001900000004</c:v>
                </c:pt>
                <c:pt idx="109" formatCode="General">
                  <c:v>5.4749999000000003</c:v>
                </c:pt>
                <c:pt idx="110" formatCode="General">
                  <c:v>5.5250000999999997</c:v>
                </c:pt>
                <c:pt idx="111" formatCode="General">
                  <c:v>5.5749998099999996</c:v>
                </c:pt>
                <c:pt idx="112" formatCode="General">
                  <c:v>5.625</c:v>
                </c:pt>
                <c:pt idx="113" formatCode="General">
                  <c:v>5.6750001900000004</c:v>
                </c:pt>
                <c:pt idx="114" formatCode="General">
                  <c:v>5.7249999000000003</c:v>
                </c:pt>
                <c:pt idx="115" formatCode="General">
                  <c:v>5.7750000999999997</c:v>
                </c:pt>
                <c:pt idx="116" formatCode="General">
                  <c:v>5.8249998099999996</c:v>
                </c:pt>
                <c:pt idx="117" formatCode="General">
                  <c:v>5.875</c:v>
                </c:pt>
                <c:pt idx="118" formatCode="General">
                  <c:v>5.9250001900000004</c:v>
                </c:pt>
                <c:pt idx="119" formatCode="General">
                  <c:v>5.9749999000000003</c:v>
                </c:pt>
                <c:pt idx="120" formatCode="General">
                  <c:v>6.0250000999999997</c:v>
                </c:pt>
                <c:pt idx="121" formatCode="General">
                  <c:v>6.0749998099999996</c:v>
                </c:pt>
                <c:pt idx="122" formatCode="General">
                  <c:v>6.125</c:v>
                </c:pt>
                <c:pt idx="123" formatCode="General">
                  <c:v>6.1750001900000004</c:v>
                </c:pt>
                <c:pt idx="124" formatCode="General">
                  <c:v>6.2249999000000003</c:v>
                </c:pt>
                <c:pt idx="125" formatCode="General">
                  <c:v>6.2750000999999997</c:v>
                </c:pt>
                <c:pt idx="126" formatCode="General">
                  <c:v>6.3249998099999996</c:v>
                </c:pt>
                <c:pt idx="127" formatCode="General">
                  <c:v>6.375</c:v>
                </c:pt>
                <c:pt idx="128" formatCode="General">
                  <c:v>6.4250001900000004</c:v>
                </c:pt>
                <c:pt idx="129" formatCode="General">
                  <c:v>6.4749999000000003</c:v>
                </c:pt>
                <c:pt idx="130" formatCode="General">
                  <c:v>6.5250000999999997</c:v>
                </c:pt>
                <c:pt idx="131" formatCode="General">
                  <c:v>6.5749998099999996</c:v>
                </c:pt>
                <c:pt idx="132" formatCode="General">
                  <c:v>6.625</c:v>
                </c:pt>
                <c:pt idx="133" formatCode="General">
                  <c:v>6.6750001900000004</c:v>
                </c:pt>
                <c:pt idx="134" formatCode="General">
                  <c:v>6.7249999000000003</c:v>
                </c:pt>
                <c:pt idx="135" formatCode="General">
                  <c:v>6.7750000999999997</c:v>
                </c:pt>
                <c:pt idx="136" formatCode="General">
                  <c:v>6.8249998099999996</c:v>
                </c:pt>
                <c:pt idx="137" formatCode="General">
                  <c:v>6.875</c:v>
                </c:pt>
                <c:pt idx="138" formatCode="General">
                  <c:v>6.9250001900000004</c:v>
                </c:pt>
                <c:pt idx="139" formatCode="General">
                  <c:v>6.9749999000000003</c:v>
                </c:pt>
                <c:pt idx="140" formatCode="General">
                  <c:v>7.0250000999999997</c:v>
                </c:pt>
                <c:pt idx="141" formatCode="General">
                  <c:v>7.0749998099999996</c:v>
                </c:pt>
                <c:pt idx="142" formatCode="General">
                  <c:v>7.125</c:v>
                </c:pt>
                <c:pt idx="143" formatCode="General">
                  <c:v>7.1750001900000004</c:v>
                </c:pt>
                <c:pt idx="144" formatCode="General">
                  <c:v>7.2249999000000003</c:v>
                </c:pt>
                <c:pt idx="145" formatCode="General">
                  <c:v>7.2750000999999997</c:v>
                </c:pt>
                <c:pt idx="146" formatCode="General">
                  <c:v>7.3249998099999996</c:v>
                </c:pt>
                <c:pt idx="147" formatCode="General">
                  <c:v>7.375</c:v>
                </c:pt>
                <c:pt idx="148" formatCode="General">
                  <c:v>7.4250001900000004</c:v>
                </c:pt>
                <c:pt idx="149" formatCode="General">
                  <c:v>7.4749999000000003</c:v>
                </c:pt>
                <c:pt idx="150" formatCode="General">
                  <c:v>7.5250000999999997</c:v>
                </c:pt>
                <c:pt idx="151" formatCode="General">
                  <c:v>7.5749998099999996</c:v>
                </c:pt>
                <c:pt idx="152" formatCode="General">
                  <c:v>7.625</c:v>
                </c:pt>
                <c:pt idx="153" formatCode="General">
                  <c:v>7.6750001900000004</c:v>
                </c:pt>
                <c:pt idx="154" formatCode="General">
                  <c:v>7.7249999000000003</c:v>
                </c:pt>
                <c:pt idx="155" formatCode="General">
                  <c:v>7.7750000999999997</c:v>
                </c:pt>
                <c:pt idx="156" formatCode="General">
                  <c:v>7.8249998099999996</c:v>
                </c:pt>
                <c:pt idx="157" formatCode="General">
                  <c:v>7.875</c:v>
                </c:pt>
                <c:pt idx="158" formatCode="General">
                  <c:v>7.9250001900000004</c:v>
                </c:pt>
                <c:pt idx="159" formatCode="General">
                  <c:v>7.9749999000000003</c:v>
                </c:pt>
                <c:pt idx="160" formatCode="General">
                  <c:v>8.0250005699999996</c:v>
                </c:pt>
                <c:pt idx="161" formatCode="General">
                  <c:v>8.07500076</c:v>
                </c:pt>
                <c:pt idx="162" formatCode="General">
                  <c:v>8.1250009500000004</c:v>
                </c:pt>
                <c:pt idx="163" formatCode="General">
                  <c:v>8.1750001900000004</c:v>
                </c:pt>
                <c:pt idx="164" formatCode="General">
                  <c:v>8.2250003800000009</c:v>
                </c:pt>
                <c:pt idx="165" formatCode="General">
                  <c:v>8.2750005699999996</c:v>
                </c:pt>
                <c:pt idx="166" formatCode="General">
                  <c:v>8.32500076</c:v>
                </c:pt>
                <c:pt idx="167" formatCode="General">
                  <c:v>8.3750009500000004</c:v>
                </c:pt>
                <c:pt idx="168" formatCode="General">
                  <c:v>8.4250001900000004</c:v>
                </c:pt>
                <c:pt idx="169" formatCode="General">
                  <c:v>8.4750003800000009</c:v>
                </c:pt>
                <c:pt idx="170" formatCode="General">
                  <c:v>8.5250005699999996</c:v>
                </c:pt>
                <c:pt idx="171" formatCode="General">
                  <c:v>8.57500076</c:v>
                </c:pt>
                <c:pt idx="172" formatCode="General">
                  <c:v>8.6250009500000004</c:v>
                </c:pt>
                <c:pt idx="173" formatCode="General">
                  <c:v>8.6750001900000004</c:v>
                </c:pt>
                <c:pt idx="174" formatCode="General">
                  <c:v>8.7250003800000009</c:v>
                </c:pt>
                <c:pt idx="175" formatCode="General">
                  <c:v>8.7750005699999996</c:v>
                </c:pt>
                <c:pt idx="176" formatCode="General">
                  <c:v>8.82500076</c:v>
                </c:pt>
                <c:pt idx="177" formatCode="General">
                  <c:v>8.8750009500000004</c:v>
                </c:pt>
              </c:numCache>
            </c:numRef>
          </c:xVal>
          <c:yVal>
            <c:numRef>
              <c:f>Total_PSD!$L$5:$L$182</c:f>
              <c:numCache>
                <c:formatCode>General</c:formatCode>
                <c:ptCount val="17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formatCode="0.00E+00">
                  <c:v>1.48260593E-2</c:v>
                </c:pt>
                <c:pt idx="51" formatCode="0.00E+00">
                  <c:v>2.5203824E-2</c:v>
                </c:pt>
                <c:pt idx="52" formatCode="0.00E+00">
                  <c:v>2.9651522600000001E-2</c:v>
                </c:pt>
                <c:pt idx="53" formatCode="0.00E+00">
                  <c:v>4.4477582000000002E-2</c:v>
                </c:pt>
                <c:pt idx="54" formatCode="0.00E+00">
                  <c:v>2.9651522600000001E-2</c:v>
                </c:pt>
                <c:pt idx="55" formatCode="0.00E+00">
                  <c:v>1.18607283E-2</c:v>
                </c:pt>
                <c:pt idx="56" formatCode="0.00E+00">
                  <c:v>4.4476985900000002E-2</c:v>
                </c:pt>
                <c:pt idx="57" formatCode="0.00E+00">
                  <c:v>5.63377142E-2</c:v>
                </c:pt>
                <c:pt idx="58" formatCode="0.00E+00">
                  <c:v>3.8547515900000003E-2</c:v>
                </c:pt>
                <c:pt idx="59" formatCode="0.00E+00">
                  <c:v>4.2994618399999997E-2</c:v>
                </c:pt>
                <c:pt idx="60" formatCode="0.00E+00">
                  <c:v>5.3372979199999997E-2</c:v>
                </c:pt>
                <c:pt idx="61" formatCode="0.00E+00">
                  <c:v>5.0408244099999999E-2</c:v>
                </c:pt>
                <c:pt idx="62" formatCode="0.00E+00">
                  <c:v>4.1512250899999999E-2</c:v>
                </c:pt>
                <c:pt idx="63" formatCode="0.00E+00">
                  <c:v>4.4476985900000002E-2</c:v>
                </c:pt>
                <c:pt idx="64" formatCode="0.00E+00">
                  <c:v>4.0029287300000001E-2</c:v>
                </c:pt>
                <c:pt idx="65" formatCode="0.00E+00">
                  <c:v>9.6367597599999993E-2</c:v>
                </c:pt>
                <c:pt idx="66">
                  <c:v>0.13639748099999999</c:v>
                </c:pt>
                <c:pt idx="67">
                  <c:v>0.106745958</c:v>
                </c:pt>
                <c:pt idx="68" formatCode="0.00E+00">
                  <c:v>8.4506869299999995E-2</c:v>
                </c:pt>
                <c:pt idx="69" formatCode="0.00E+00">
                  <c:v>8.0059170700000001E-2</c:v>
                </c:pt>
                <c:pt idx="70" formatCode="0.00E+00">
                  <c:v>8.5989832899999993E-2</c:v>
                </c:pt>
                <c:pt idx="71" formatCode="0.00E+00">
                  <c:v>7.4129104599999995E-2</c:v>
                </c:pt>
                <c:pt idx="72" formatCode="0.00E+00">
                  <c:v>8.0059170700000001E-2</c:v>
                </c:pt>
                <c:pt idx="73">
                  <c:v>0.10229826</c:v>
                </c:pt>
                <c:pt idx="74">
                  <c:v>0.109710693</c:v>
                </c:pt>
                <c:pt idx="75">
                  <c:v>0.115640759</c:v>
                </c:pt>
                <c:pt idx="76">
                  <c:v>0.111193657</c:v>
                </c:pt>
                <c:pt idx="77">
                  <c:v>0.108228326</c:v>
                </c:pt>
                <c:pt idx="78">
                  <c:v>0.146775246</c:v>
                </c:pt>
                <c:pt idx="79">
                  <c:v>0.14084517999999999</c:v>
                </c:pt>
                <c:pt idx="80">
                  <c:v>0.115641356</c:v>
                </c:pt>
                <c:pt idx="81">
                  <c:v>0.12750208399999999</c:v>
                </c:pt>
                <c:pt idx="82">
                  <c:v>0.13046681900000001</c:v>
                </c:pt>
                <c:pt idx="83">
                  <c:v>0.13491451700000001</c:v>
                </c:pt>
                <c:pt idx="84">
                  <c:v>0.112676024</c:v>
                </c:pt>
                <c:pt idx="85">
                  <c:v>0.13194978199999999</c:v>
                </c:pt>
                <c:pt idx="86">
                  <c:v>0.152705908</c:v>
                </c:pt>
                <c:pt idx="87">
                  <c:v>0.13639748099999999</c:v>
                </c:pt>
                <c:pt idx="88">
                  <c:v>0.17642676800000001</c:v>
                </c:pt>
                <c:pt idx="89">
                  <c:v>0.16308367300000001</c:v>
                </c:pt>
                <c:pt idx="90">
                  <c:v>0.14232814299999999</c:v>
                </c:pt>
                <c:pt idx="91">
                  <c:v>0.15270531200000001</c:v>
                </c:pt>
                <c:pt idx="92">
                  <c:v>0.117123723</c:v>
                </c:pt>
                <c:pt idx="93">
                  <c:v>0.108228326</c:v>
                </c:pt>
                <c:pt idx="94">
                  <c:v>0.118606091</c:v>
                </c:pt>
                <c:pt idx="95">
                  <c:v>0.14974057700000001</c:v>
                </c:pt>
                <c:pt idx="96">
                  <c:v>0.19273579099999999</c:v>
                </c:pt>
                <c:pt idx="97">
                  <c:v>0.167531967</c:v>
                </c:pt>
                <c:pt idx="98">
                  <c:v>0.136396885</c:v>
                </c:pt>
                <c:pt idx="99">
                  <c:v>0.12601912000000001</c:v>
                </c:pt>
                <c:pt idx="100" formatCode="0.00E+00">
                  <c:v>7.8576803200000003E-2</c:v>
                </c:pt>
                <c:pt idx="101" formatCode="0.00E+00">
                  <c:v>4.2994618399999997E-2</c:v>
                </c:pt>
                <c:pt idx="102" formatCode="0.00E+00">
                  <c:v>9.4885230099999995E-2</c:v>
                </c:pt>
                <c:pt idx="103">
                  <c:v>0.106745958</c:v>
                </c:pt>
                <c:pt idx="104" formatCode="0.00E+00">
                  <c:v>7.2646141100000006E-2</c:v>
                </c:pt>
                <c:pt idx="105" formatCode="0.00E+00">
                  <c:v>9.4885230099999995E-2</c:v>
                </c:pt>
                <c:pt idx="106" formatCode="0.00E+00">
                  <c:v>8.7472200400000005E-2</c:v>
                </c:pt>
                <c:pt idx="107">
                  <c:v>0.121571422</c:v>
                </c:pt>
                <c:pt idx="108">
                  <c:v>0.128984451</c:v>
                </c:pt>
                <c:pt idx="109">
                  <c:v>0.112676024</c:v>
                </c:pt>
                <c:pt idx="110">
                  <c:v>0.115641356</c:v>
                </c:pt>
                <c:pt idx="111" formatCode="0.00E+00">
                  <c:v>6.6716074900000005E-2</c:v>
                </c:pt>
                <c:pt idx="112" formatCode="0.00E+00">
                  <c:v>7.7094435700000005E-2</c:v>
                </c:pt>
                <c:pt idx="113">
                  <c:v>0.117123723</c:v>
                </c:pt>
                <c:pt idx="114" formatCode="0.00E+00">
                  <c:v>9.4884633999999995E-2</c:v>
                </c:pt>
                <c:pt idx="115" formatCode="0.00E+00">
                  <c:v>6.9681406000000001E-2</c:v>
                </c:pt>
                <c:pt idx="116" formatCode="0.00E+00">
                  <c:v>9.4885230099999995E-2</c:v>
                </c:pt>
                <c:pt idx="117" formatCode="0.00E+00">
                  <c:v>9.3402266499999997E-2</c:v>
                </c:pt>
                <c:pt idx="118">
                  <c:v>0.105262995</c:v>
                </c:pt>
                <c:pt idx="119">
                  <c:v>0.100815296</c:v>
                </c:pt>
                <c:pt idx="120" formatCode="0.00E+00">
                  <c:v>8.3024501799999997E-2</c:v>
                </c:pt>
                <c:pt idx="121">
                  <c:v>0.143810511</c:v>
                </c:pt>
                <c:pt idx="122">
                  <c:v>0.128984451</c:v>
                </c:pt>
                <c:pt idx="123" formatCode="0.00E+00">
                  <c:v>6.9681406000000001E-2</c:v>
                </c:pt>
                <c:pt idx="124" formatCode="0.00E+00">
                  <c:v>6.8199038500000003E-2</c:v>
                </c:pt>
                <c:pt idx="125" formatCode="0.00E+00">
                  <c:v>8.8954567900000003E-2</c:v>
                </c:pt>
                <c:pt idx="126" formatCode="0.00E+00">
                  <c:v>8.7472200400000005E-2</c:v>
                </c:pt>
                <c:pt idx="127" formatCode="0.00E+00">
                  <c:v>8.1541538199999999E-2</c:v>
                </c:pt>
                <c:pt idx="128" formatCode="0.00E+00">
                  <c:v>7.5611472099999993E-2</c:v>
                </c:pt>
                <c:pt idx="129" formatCode="0.00E+00">
                  <c:v>8.1542134299999999E-2</c:v>
                </c:pt>
                <c:pt idx="130" formatCode="0.00E+00">
                  <c:v>9.4885230099999995E-2</c:v>
                </c:pt>
                <c:pt idx="131" formatCode="0.00E+00">
                  <c:v>7.7094435700000005E-2</c:v>
                </c:pt>
                <c:pt idx="132" formatCode="0.00E+00">
                  <c:v>8.0059170700000001E-2</c:v>
                </c:pt>
                <c:pt idx="133" formatCode="0.00E+00">
                  <c:v>9.3402266499999997E-2</c:v>
                </c:pt>
                <c:pt idx="134">
                  <c:v>0.112676024</c:v>
                </c:pt>
                <c:pt idx="135">
                  <c:v>0.20459592300000001</c:v>
                </c:pt>
                <c:pt idx="136">
                  <c:v>0.31727194800000003</c:v>
                </c:pt>
                <c:pt idx="137">
                  <c:v>0.19570052600000001</c:v>
                </c:pt>
                <c:pt idx="138" formatCode="0.00E+00">
                  <c:v>5.3372979199999997E-2</c:v>
                </c:pt>
                <c:pt idx="139" formatCode="0.00E+00">
                  <c:v>8.3024501799999997E-2</c:v>
                </c:pt>
                <c:pt idx="140" formatCode="0.00E+00">
                  <c:v>9.4885230099999995E-2</c:v>
                </c:pt>
                <c:pt idx="141" formatCode="0.00E+00">
                  <c:v>7.1163773499999999E-2</c:v>
                </c:pt>
                <c:pt idx="142" formatCode="0.00E+00">
                  <c:v>6.6716074900000005E-2</c:v>
                </c:pt>
                <c:pt idx="143" formatCode="0.00E+00">
                  <c:v>6.6716074900000005E-2</c:v>
                </c:pt>
                <c:pt idx="144" formatCode="0.00E+00">
                  <c:v>5.7820677799999998E-2</c:v>
                </c:pt>
                <c:pt idx="145">
                  <c:v>0.106745958</c:v>
                </c:pt>
                <c:pt idx="146" formatCode="0.00E+00">
                  <c:v>9.7849965100000005E-2</c:v>
                </c:pt>
                <c:pt idx="147" formatCode="0.00E+00">
                  <c:v>5.9303045300000003E-2</c:v>
                </c:pt>
                <c:pt idx="148" formatCode="0.00E+00">
                  <c:v>6.5233707399999993E-2</c:v>
                </c:pt>
                <c:pt idx="149" formatCode="0.00E+00">
                  <c:v>9.1919898999999999E-2</c:v>
                </c:pt>
                <c:pt idx="150" formatCode="0.00E+00">
                  <c:v>8.5989236799999993E-2</c:v>
                </c:pt>
                <c:pt idx="151" formatCode="0.00E+00">
                  <c:v>9.7850263100000001E-2</c:v>
                </c:pt>
                <c:pt idx="152">
                  <c:v>0.109711289</c:v>
                </c:pt>
                <c:pt idx="153" formatCode="0.00E+00">
                  <c:v>7.5611472099999993E-2</c:v>
                </c:pt>
                <c:pt idx="154" formatCode="0.00E+00">
                  <c:v>8.3024203800000002E-2</c:v>
                </c:pt>
                <c:pt idx="155" formatCode="0.00E+00">
                  <c:v>8.0059468699999997E-2</c:v>
                </c:pt>
                <c:pt idx="156">
                  <c:v>0.152705908</c:v>
                </c:pt>
                <c:pt idx="157">
                  <c:v>0.12750178600000001</c:v>
                </c:pt>
                <c:pt idx="158" formatCode="0.00E+00">
                  <c:v>5.0407648100000001E-2</c:v>
                </c:pt>
                <c:pt idx="159" formatCode="0.00E+00">
                  <c:v>4.8925280600000003E-2</c:v>
                </c:pt>
                <c:pt idx="160" formatCode="0.00E+00">
                  <c:v>6.8198740499999994E-2</c:v>
                </c:pt>
                <c:pt idx="161" formatCode="0.00E+00">
                  <c:v>8.5989534899999998E-2</c:v>
                </c:pt>
                <c:pt idx="162" formatCode="0.00E+00">
                  <c:v>8.5989534899999998E-2</c:v>
                </c:pt>
                <c:pt idx="163" formatCode="0.00E+00">
                  <c:v>9.4884932000000005E-2</c:v>
                </c:pt>
                <c:pt idx="164" formatCode="0.00E+00">
                  <c:v>8.1541836300000003E-2</c:v>
                </c:pt>
                <c:pt idx="165" formatCode="0.00E+00">
                  <c:v>6.9681406000000001E-2</c:v>
                </c:pt>
                <c:pt idx="166" formatCode="0.00E+00">
                  <c:v>8.5989534899999998E-2</c:v>
                </c:pt>
                <c:pt idx="167" formatCode="0.00E+00">
                  <c:v>9.9332928700000003E-2</c:v>
                </c:pt>
                <c:pt idx="168" formatCode="0.00E+00">
                  <c:v>7.5611770199999997E-2</c:v>
                </c:pt>
                <c:pt idx="169" formatCode="0.00E+00">
                  <c:v>6.6716074900000005E-2</c:v>
                </c:pt>
                <c:pt idx="170" formatCode="0.00E+00">
                  <c:v>8.7472200400000005E-2</c:v>
                </c:pt>
                <c:pt idx="171" formatCode="0.00E+00">
                  <c:v>7.8576505199999994E-2</c:v>
                </c:pt>
                <c:pt idx="172" formatCode="0.00E+00">
                  <c:v>5.7820677799999998E-2</c:v>
                </c:pt>
                <c:pt idx="173" formatCode="0.00E+00">
                  <c:v>6.5233707399999993E-2</c:v>
                </c:pt>
                <c:pt idx="174" formatCode="0.00E+00">
                  <c:v>6.2268078300000002E-2</c:v>
                </c:pt>
                <c:pt idx="175">
                  <c:v>0.12750178600000001</c:v>
                </c:pt>
                <c:pt idx="176">
                  <c:v>0.12750208399999999</c:v>
                </c:pt>
                <c:pt idx="177" formatCode="0.00E+00">
                  <c:v>8.8954865899999999E-2</c:v>
                </c:pt>
              </c:numCache>
            </c:numRef>
          </c:yVal>
          <c:smooth val="1"/>
          <c:extLst>
            <c:ext xmlns:c16="http://schemas.microsoft.com/office/drawing/2014/chart" uri="{C3380CC4-5D6E-409C-BE32-E72D297353CC}">
              <c16:uniqueId val="{00000000-A48E-F646-923E-61DFC088748C}"/>
            </c:ext>
          </c:extLst>
        </c:ser>
        <c:ser>
          <c:idx val="1"/>
          <c:order val="1"/>
          <c:tx>
            <c:v>C600</c:v>
          </c:tx>
          <c:spPr>
            <a:ln w="19050" cap="rnd">
              <a:solidFill>
                <a:srgbClr val="92D050"/>
              </a:solidFill>
              <a:round/>
            </a:ln>
            <a:effectLst/>
          </c:spPr>
          <c:marker>
            <c:symbol val="none"/>
          </c:marker>
          <c:xVal>
            <c:numRef>
              <c:f>Total_PSD!$H$5:$H$182</c:f>
              <c:numCache>
                <c:formatCode>0.00E+00</c:formatCode>
                <c:ptCount val="178"/>
                <c:pt idx="0">
                  <c:v>2.50000004E-2</c:v>
                </c:pt>
                <c:pt idx="1">
                  <c:v>7.5000002999999996E-2</c:v>
                </c:pt>
                <c:pt idx="2" formatCode="General">
                  <c:v>0.125</c:v>
                </c:pt>
                <c:pt idx="3" formatCode="General">
                  <c:v>0.17499999699999999</c:v>
                </c:pt>
                <c:pt idx="4" formatCode="General">
                  <c:v>0.22499999400000001</c:v>
                </c:pt>
                <c:pt idx="5" formatCode="General">
                  <c:v>0.27500000600000002</c:v>
                </c:pt>
                <c:pt idx="6" formatCode="General">
                  <c:v>0.32499998800000002</c:v>
                </c:pt>
                <c:pt idx="7" formatCode="General">
                  <c:v>0.375</c:v>
                </c:pt>
                <c:pt idx="8" formatCode="General">
                  <c:v>0.42500001199999998</c:v>
                </c:pt>
                <c:pt idx="9" formatCode="General">
                  <c:v>0.47499999399999998</c:v>
                </c:pt>
                <c:pt idx="10" formatCode="General">
                  <c:v>0.525000036</c:v>
                </c:pt>
                <c:pt idx="11" formatCode="General">
                  <c:v>0.57500004800000004</c:v>
                </c:pt>
                <c:pt idx="12" formatCode="General">
                  <c:v>0.62500005999999997</c:v>
                </c:pt>
                <c:pt idx="13" formatCode="General">
                  <c:v>0.67500001200000004</c:v>
                </c:pt>
                <c:pt idx="14" formatCode="General">
                  <c:v>0.72500002399999997</c:v>
                </c:pt>
                <c:pt idx="15" formatCode="General">
                  <c:v>0.775000036</c:v>
                </c:pt>
                <c:pt idx="16" formatCode="General">
                  <c:v>0.82500004800000004</c:v>
                </c:pt>
                <c:pt idx="17" formatCode="General">
                  <c:v>0.87500005999999997</c:v>
                </c:pt>
                <c:pt idx="18" formatCode="General">
                  <c:v>0.92500001200000004</c:v>
                </c:pt>
                <c:pt idx="19" formatCode="General">
                  <c:v>0.97500002399999997</c:v>
                </c:pt>
                <c:pt idx="20" formatCode="General">
                  <c:v>1.0250001</c:v>
                </c:pt>
                <c:pt idx="21" formatCode="General">
                  <c:v>1.0750000500000001</c:v>
                </c:pt>
                <c:pt idx="22" formatCode="General">
                  <c:v>1.125</c:v>
                </c:pt>
                <c:pt idx="23" formatCode="General">
                  <c:v>1.1750000700000001</c:v>
                </c:pt>
                <c:pt idx="24" formatCode="General">
                  <c:v>1.22500002</c:v>
                </c:pt>
                <c:pt idx="25" formatCode="General">
                  <c:v>1.2750001</c:v>
                </c:pt>
                <c:pt idx="26" formatCode="General">
                  <c:v>1.3250000500000001</c:v>
                </c:pt>
                <c:pt idx="27" formatCode="General">
                  <c:v>1.375</c:v>
                </c:pt>
                <c:pt idx="28" formatCode="General">
                  <c:v>1.4250000700000001</c:v>
                </c:pt>
                <c:pt idx="29" formatCode="General">
                  <c:v>1.47500002</c:v>
                </c:pt>
                <c:pt idx="30" formatCode="General">
                  <c:v>1.5250001</c:v>
                </c:pt>
                <c:pt idx="31" formatCode="General">
                  <c:v>1.5750000500000001</c:v>
                </c:pt>
                <c:pt idx="32" formatCode="General">
                  <c:v>1.625</c:v>
                </c:pt>
                <c:pt idx="33" formatCode="General">
                  <c:v>1.6750000700000001</c:v>
                </c:pt>
                <c:pt idx="34" formatCode="General">
                  <c:v>1.72500002</c:v>
                </c:pt>
                <c:pt idx="35" formatCode="General">
                  <c:v>1.7750001</c:v>
                </c:pt>
                <c:pt idx="36" formatCode="General">
                  <c:v>1.8250000500000001</c:v>
                </c:pt>
                <c:pt idx="37" formatCode="General">
                  <c:v>1.875</c:v>
                </c:pt>
                <c:pt idx="38" formatCode="General">
                  <c:v>1.9250000700000001</c:v>
                </c:pt>
                <c:pt idx="39" formatCode="General">
                  <c:v>1.97500002</c:v>
                </c:pt>
                <c:pt idx="40" formatCode="General">
                  <c:v>2.0249998599999999</c:v>
                </c:pt>
                <c:pt idx="41" formatCode="General">
                  <c:v>2.0750000499999999</c:v>
                </c:pt>
                <c:pt idx="42" formatCode="General">
                  <c:v>2.125</c:v>
                </c:pt>
                <c:pt idx="43" formatCode="General">
                  <c:v>2.1749999500000001</c:v>
                </c:pt>
                <c:pt idx="44" formatCode="General">
                  <c:v>2.2249998999999998</c:v>
                </c:pt>
                <c:pt idx="45" formatCode="General">
                  <c:v>2.2749998599999999</c:v>
                </c:pt>
                <c:pt idx="46" formatCode="General">
                  <c:v>2.3250000499999999</c:v>
                </c:pt>
                <c:pt idx="47" formatCode="General">
                  <c:v>2.375</c:v>
                </c:pt>
                <c:pt idx="48" formatCode="General">
                  <c:v>2.4249999500000001</c:v>
                </c:pt>
                <c:pt idx="49" formatCode="General">
                  <c:v>2.4749998999999998</c:v>
                </c:pt>
                <c:pt idx="50" formatCode="General">
                  <c:v>2.5249998599999999</c:v>
                </c:pt>
                <c:pt idx="51" formatCode="General">
                  <c:v>2.5750000499999999</c:v>
                </c:pt>
                <c:pt idx="52" formatCode="General">
                  <c:v>2.625</c:v>
                </c:pt>
                <c:pt idx="53" formatCode="General">
                  <c:v>2.6749999500000001</c:v>
                </c:pt>
                <c:pt idx="54" formatCode="General">
                  <c:v>2.7249998999999998</c:v>
                </c:pt>
                <c:pt idx="55" formatCode="General">
                  <c:v>2.7749998599999999</c:v>
                </c:pt>
                <c:pt idx="56" formatCode="General">
                  <c:v>2.8250000499999999</c:v>
                </c:pt>
                <c:pt idx="57" formatCode="General">
                  <c:v>2.875</c:v>
                </c:pt>
                <c:pt idx="58" formatCode="General">
                  <c:v>2.9249999500000001</c:v>
                </c:pt>
                <c:pt idx="59" formatCode="General">
                  <c:v>2.9749998999999998</c:v>
                </c:pt>
                <c:pt idx="60" formatCode="General">
                  <c:v>3.0249998599999999</c:v>
                </c:pt>
                <c:pt idx="61" formatCode="General">
                  <c:v>3.0750000499999999</c:v>
                </c:pt>
                <c:pt idx="62" formatCode="General">
                  <c:v>3.125</c:v>
                </c:pt>
                <c:pt idx="63" formatCode="General">
                  <c:v>3.1749999500000001</c:v>
                </c:pt>
                <c:pt idx="64" formatCode="General">
                  <c:v>3.2249998999999998</c:v>
                </c:pt>
                <c:pt idx="65" formatCode="General">
                  <c:v>3.2749998599999999</c:v>
                </c:pt>
                <c:pt idx="66" formatCode="General">
                  <c:v>3.3250000499999999</c:v>
                </c:pt>
                <c:pt idx="67" formatCode="General">
                  <c:v>3.375</c:v>
                </c:pt>
                <c:pt idx="68" formatCode="General">
                  <c:v>3.4249999500000001</c:v>
                </c:pt>
                <c:pt idx="69" formatCode="General">
                  <c:v>3.4749998999999998</c:v>
                </c:pt>
                <c:pt idx="70" formatCode="General">
                  <c:v>3.5249998599999999</c:v>
                </c:pt>
                <c:pt idx="71" formatCode="General">
                  <c:v>3.5750000499999999</c:v>
                </c:pt>
                <c:pt idx="72" formatCode="General">
                  <c:v>3.625</c:v>
                </c:pt>
                <c:pt idx="73" formatCode="General">
                  <c:v>3.6749999500000001</c:v>
                </c:pt>
                <c:pt idx="74" formatCode="General">
                  <c:v>3.7249998999999998</c:v>
                </c:pt>
                <c:pt idx="75" formatCode="General">
                  <c:v>3.7749998599999999</c:v>
                </c:pt>
                <c:pt idx="76" formatCode="General">
                  <c:v>3.8250000499999999</c:v>
                </c:pt>
                <c:pt idx="77" formatCode="General">
                  <c:v>3.875</c:v>
                </c:pt>
                <c:pt idx="78" formatCode="General">
                  <c:v>3.9249999500000001</c:v>
                </c:pt>
                <c:pt idx="79" formatCode="General">
                  <c:v>3.9749998999999998</c:v>
                </c:pt>
                <c:pt idx="80" formatCode="General">
                  <c:v>4.0250000999999997</c:v>
                </c:pt>
                <c:pt idx="81" formatCode="General">
                  <c:v>4.0749998099999996</c:v>
                </c:pt>
                <c:pt idx="82" formatCode="General">
                  <c:v>4.125</c:v>
                </c:pt>
                <c:pt idx="83" formatCode="General">
                  <c:v>4.1750001900000004</c:v>
                </c:pt>
                <c:pt idx="84" formatCode="General">
                  <c:v>4.2249999000000003</c:v>
                </c:pt>
                <c:pt idx="85" formatCode="General">
                  <c:v>4.2750000999999997</c:v>
                </c:pt>
                <c:pt idx="86" formatCode="General">
                  <c:v>4.3249998099999996</c:v>
                </c:pt>
                <c:pt idx="87" formatCode="General">
                  <c:v>4.375</c:v>
                </c:pt>
                <c:pt idx="88" formatCode="General">
                  <c:v>4.4250001900000004</c:v>
                </c:pt>
                <c:pt idx="89" formatCode="General">
                  <c:v>4.4749999000000003</c:v>
                </c:pt>
                <c:pt idx="90" formatCode="General">
                  <c:v>4.5250000999999997</c:v>
                </c:pt>
                <c:pt idx="91" formatCode="General">
                  <c:v>4.5749998099999996</c:v>
                </c:pt>
                <c:pt idx="92" formatCode="General">
                  <c:v>4.625</c:v>
                </c:pt>
                <c:pt idx="93" formatCode="General">
                  <c:v>4.6750001900000004</c:v>
                </c:pt>
                <c:pt idx="94" formatCode="General">
                  <c:v>4.7249999000000003</c:v>
                </c:pt>
                <c:pt idx="95" formatCode="General">
                  <c:v>4.7750000999999997</c:v>
                </c:pt>
                <c:pt idx="96" formatCode="General">
                  <c:v>4.8249998099999996</c:v>
                </c:pt>
                <c:pt idx="97" formatCode="General">
                  <c:v>4.875</c:v>
                </c:pt>
                <c:pt idx="98" formatCode="General">
                  <c:v>4.9250001900000004</c:v>
                </c:pt>
                <c:pt idx="99" formatCode="General">
                  <c:v>4.9749999000000003</c:v>
                </c:pt>
                <c:pt idx="100" formatCode="General">
                  <c:v>5.0250000999999997</c:v>
                </c:pt>
                <c:pt idx="101" formatCode="General">
                  <c:v>5.0749998099999996</c:v>
                </c:pt>
                <c:pt idx="102" formatCode="General">
                  <c:v>5.125</c:v>
                </c:pt>
                <c:pt idx="103" formatCode="General">
                  <c:v>5.1750001900000004</c:v>
                </c:pt>
                <c:pt idx="104" formatCode="General">
                  <c:v>5.2249999000000003</c:v>
                </c:pt>
                <c:pt idx="105" formatCode="General">
                  <c:v>5.2750000999999997</c:v>
                </c:pt>
                <c:pt idx="106" formatCode="General">
                  <c:v>5.3249998099999996</c:v>
                </c:pt>
                <c:pt idx="107" formatCode="General">
                  <c:v>5.375</c:v>
                </c:pt>
                <c:pt idx="108" formatCode="General">
                  <c:v>5.4250001900000004</c:v>
                </c:pt>
                <c:pt idx="109" formatCode="General">
                  <c:v>5.4749999000000003</c:v>
                </c:pt>
                <c:pt idx="110" formatCode="General">
                  <c:v>5.5250000999999997</c:v>
                </c:pt>
                <c:pt idx="111" formatCode="General">
                  <c:v>5.5749998099999996</c:v>
                </c:pt>
                <c:pt idx="112" formatCode="General">
                  <c:v>5.625</c:v>
                </c:pt>
                <c:pt idx="113" formatCode="General">
                  <c:v>5.6750001900000004</c:v>
                </c:pt>
                <c:pt idx="114" formatCode="General">
                  <c:v>5.7249999000000003</c:v>
                </c:pt>
                <c:pt idx="115" formatCode="General">
                  <c:v>5.7750000999999997</c:v>
                </c:pt>
                <c:pt idx="116" formatCode="General">
                  <c:v>5.8249998099999996</c:v>
                </c:pt>
                <c:pt idx="117" formatCode="General">
                  <c:v>5.875</c:v>
                </c:pt>
                <c:pt idx="118" formatCode="General">
                  <c:v>5.9250001900000004</c:v>
                </c:pt>
                <c:pt idx="119" formatCode="General">
                  <c:v>5.9749999000000003</c:v>
                </c:pt>
                <c:pt idx="120" formatCode="General">
                  <c:v>6.0250000999999997</c:v>
                </c:pt>
                <c:pt idx="121" formatCode="General">
                  <c:v>6.0749998099999996</c:v>
                </c:pt>
                <c:pt idx="122" formatCode="General">
                  <c:v>6.125</c:v>
                </c:pt>
                <c:pt idx="123" formatCode="General">
                  <c:v>6.1750001900000004</c:v>
                </c:pt>
                <c:pt idx="124" formatCode="General">
                  <c:v>6.2249999000000003</c:v>
                </c:pt>
                <c:pt idx="125" formatCode="General">
                  <c:v>6.2750000999999997</c:v>
                </c:pt>
                <c:pt idx="126" formatCode="General">
                  <c:v>6.3249998099999996</c:v>
                </c:pt>
                <c:pt idx="127" formatCode="General">
                  <c:v>6.375</c:v>
                </c:pt>
                <c:pt idx="128" formatCode="General">
                  <c:v>6.4250001900000004</c:v>
                </c:pt>
                <c:pt idx="129" formatCode="General">
                  <c:v>6.4749999000000003</c:v>
                </c:pt>
                <c:pt idx="130" formatCode="General">
                  <c:v>6.5250000999999997</c:v>
                </c:pt>
                <c:pt idx="131" formatCode="General">
                  <c:v>6.5749998099999996</c:v>
                </c:pt>
                <c:pt idx="132" formatCode="General">
                  <c:v>6.625</c:v>
                </c:pt>
                <c:pt idx="133" formatCode="General">
                  <c:v>6.6750001900000004</c:v>
                </c:pt>
                <c:pt idx="134" formatCode="General">
                  <c:v>6.7249999000000003</c:v>
                </c:pt>
                <c:pt idx="135" formatCode="General">
                  <c:v>6.7750000999999997</c:v>
                </c:pt>
                <c:pt idx="136" formatCode="General">
                  <c:v>6.8249998099999996</c:v>
                </c:pt>
                <c:pt idx="137" formatCode="General">
                  <c:v>6.875</c:v>
                </c:pt>
                <c:pt idx="138" formatCode="General">
                  <c:v>6.9250001900000004</c:v>
                </c:pt>
                <c:pt idx="139" formatCode="General">
                  <c:v>6.9749999000000003</c:v>
                </c:pt>
                <c:pt idx="140" formatCode="General">
                  <c:v>7.0250000999999997</c:v>
                </c:pt>
                <c:pt idx="141" formatCode="General">
                  <c:v>7.0749998099999996</c:v>
                </c:pt>
                <c:pt idx="142" formatCode="General">
                  <c:v>7.125</c:v>
                </c:pt>
                <c:pt idx="143" formatCode="General">
                  <c:v>7.1750001900000004</c:v>
                </c:pt>
                <c:pt idx="144" formatCode="General">
                  <c:v>7.2249999000000003</c:v>
                </c:pt>
                <c:pt idx="145" formatCode="General">
                  <c:v>7.2750000999999997</c:v>
                </c:pt>
                <c:pt idx="146" formatCode="General">
                  <c:v>7.3249998099999996</c:v>
                </c:pt>
                <c:pt idx="147" formatCode="General">
                  <c:v>7.375</c:v>
                </c:pt>
                <c:pt idx="148" formatCode="General">
                  <c:v>7.4250001900000004</c:v>
                </c:pt>
                <c:pt idx="149" formatCode="General">
                  <c:v>7.4749999000000003</c:v>
                </c:pt>
                <c:pt idx="150" formatCode="General">
                  <c:v>7.5250000999999997</c:v>
                </c:pt>
                <c:pt idx="151" formatCode="General">
                  <c:v>7.5749998099999996</c:v>
                </c:pt>
                <c:pt idx="152" formatCode="General">
                  <c:v>7.625</c:v>
                </c:pt>
                <c:pt idx="153" formatCode="General">
                  <c:v>7.6750001900000004</c:v>
                </c:pt>
                <c:pt idx="154" formatCode="General">
                  <c:v>7.7249999000000003</c:v>
                </c:pt>
                <c:pt idx="155" formatCode="General">
                  <c:v>7.7750000999999997</c:v>
                </c:pt>
                <c:pt idx="156" formatCode="General">
                  <c:v>7.8249998099999996</c:v>
                </c:pt>
                <c:pt idx="157" formatCode="General">
                  <c:v>7.875</c:v>
                </c:pt>
                <c:pt idx="158" formatCode="General">
                  <c:v>7.9250001900000004</c:v>
                </c:pt>
                <c:pt idx="159" formatCode="General">
                  <c:v>7.9749999000000003</c:v>
                </c:pt>
                <c:pt idx="160" formatCode="General">
                  <c:v>8.0250005699999996</c:v>
                </c:pt>
                <c:pt idx="161" formatCode="General">
                  <c:v>8.07500076</c:v>
                </c:pt>
                <c:pt idx="162" formatCode="General">
                  <c:v>8.1250009500000004</c:v>
                </c:pt>
                <c:pt idx="163" formatCode="General">
                  <c:v>8.1750001900000004</c:v>
                </c:pt>
                <c:pt idx="164" formatCode="General">
                  <c:v>8.2250003800000009</c:v>
                </c:pt>
                <c:pt idx="165" formatCode="General">
                  <c:v>8.2750005699999996</c:v>
                </c:pt>
                <c:pt idx="166" formatCode="General">
                  <c:v>8.32500076</c:v>
                </c:pt>
                <c:pt idx="167" formatCode="General">
                  <c:v>8.3750009500000004</c:v>
                </c:pt>
                <c:pt idx="168" formatCode="General">
                  <c:v>8.4250001900000004</c:v>
                </c:pt>
                <c:pt idx="169" formatCode="General">
                  <c:v>8.4750003800000009</c:v>
                </c:pt>
                <c:pt idx="170" formatCode="General">
                  <c:v>8.5250005699999996</c:v>
                </c:pt>
                <c:pt idx="171" formatCode="General">
                  <c:v>8.57500076</c:v>
                </c:pt>
                <c:pt idx="172" formatCode="General">
                  <c:v>8.6250009500000004</c:v>
                </c:pt>
                <c:pt idx="173" formatCode="General">
                  <c:v>8.6750001900000004</c:v>
                </c:pt>
                <c:pt idx="174" formatCode="General">
                  <c:v>8.7250003800000009</c:v>
                </c:pt>
                <c:pt idx="175" formatCode="General">
                  <c:v>8.7750005699999996</c:v>
                </c:pt>
                <c:pt idx="176" formatCode="General">
                  <c:v>8.82500076</c:v>
                </c:pt>
                <c:pt idx="177" formatCode="General">
                  <c:v>8.8750009500000004</c:v>
                </c:pt>
              </c:numCache>
            </c:numRef>
          </c:xVal>
          <c:yVal>
            <c:numRef>
              <c:f>Total_PSD!$I$5:$I$182</c:f>
              <c:numCache>
                <c:formatCode>General</c:formatCode>
                <c:ptCount val="17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formatCode="0.00E+00">
                  <c:v>6.2507391000000004E-3</c:v>
                </c:pt>
                <c:pt idx="49" formatCode="0.00E+00">
                  <c:v>2.0315647100000001E-2</c:v>
                </c:pt>
                <c:pt idx="50" formatCode="0.00E+00">
                  <c:v>2.0315647100000001E-2</c:v>
                </c:pt>
                <c:pt idx="51" formatCode="0.00E+00">
                  <c:v>1.8752813300000001E-2</c:v>
                </c:pt>
                <c:pt idx="52" formatCode="0.00E+00">
                  <c:v>1.8753409400000001E-2</c:v>
                </c:pt>
                <c:pt idx="53" formatCode="0.00E+00">
                  <c:v>1.0939240500000001E-2</c:v>
                </c:pt>
                <c:pt idx="54" formatCode="0.00E+00">
                  <c:v>1.0939240500000001E-2</c:v>
                </c:pt>
                <c:pt idx="55" formatCode="0.00E+00">
                  <c:v>1.8752813300000001E-2</c:v>
                </c:pt>
                <c:pt idx="56" formatCode="0.00E+00">
                  <c:v>2.96920538E-2</c:v>
                </c:pt>
                <c:pt idx="57" formatCode="0.00E+00">
                  <c:v>2.9692649799999998E-2</c:v>
                </c:pt>
                <c:pt idx="58" formatCode="0.00E+00">
                  <c:v>5.1570534699999997E-2</c:v>
                </c:pt>
                <c:pt idx="59" formatCode="0.00E+00">
                  <c:v>5.93841076E-2</c:v>
                </c:pt>
                <c:pt idx="60" formatCode="0.00E+00">
                  <c:v>3.2817721399999999E-2</c:v>
                </c:pt>
                <c:pt idx="61" formatCode="0.00E+00">
                  <c:v>2.18784809E-2</c:v>
                </c:pt>
                <c:pt idx="62" formatCode="0.00E+00">
                  <c:v>3.9068460499999999E-2</c:v>
                </c:pt>
                <c:pt idx="63" formatCode="0.00E+00">
                  <c:v>4.2194127999999997E-2</c:v>
                </c:pt>
                <c:pt idx="64" formatCode="0.00E+00">
                  <c:v>3.9068460499999999E-2</c:v>
                </c:pt>
                <c:pt idx="65" formatCode="0.00E+00">
                  <c:v>8.2825422300000007E-2</c:v>
                </c:pt>
                <c:pt idx="66">
                  <c:v>0.12970805199999999</c:v>
                </c:pt>
                <c:pt idx="67">
                  <c:v>0.120331049</c:v>
                </c:pt>
                <c:pt idx="68" formatCode="0.00E+00">
                  <c:v>9.8452568099999999E-2</c:v>
                </c:pt>
                <c:pt idx="69">
                  <c:v>0.11251747600000001</c:v>
                </c:pt>
                <c:pt idx="70">
                  <c:v>0.12345671699999999</c:v>
                </c:pt>
                <c:pt idx="71">
                  <c:v>0.109392405</c:v>
                </c:pt>
                <c:pt idx="72">
                  <c:v>0.12814521800000001</c:v>
                </c:pt>
                <c:pt idx="73">
                  <c:v>0.13752162500000001</c:v>
                </c:pt>
                <c:pt idx="74">
                  <c:v>0.12814521800000001</c:v>
                </c:pt>
                <c:pt idx="75">
                  <c:v>0.15314876999999999</c:v>
                </c:pt>
                <c:pt idx="76">
                  <c:v>0.15314876999999999</c:v>
                </c:pt>
                <c:pt idx="77">
                  <c:v>0.14220953</c:v>
                </c:pt>
                <c:pt idx="78">
                  <c:v>0.14220953</c:v>
                </c:pt>
                <c:pt idx="79">
                  <c:v>0.12970805199999999</c:v>
                </c:pt>
                <c:pt idx="80">
                  <c:v>0.10001599799999999</c:v>
                </c:pt>
                <c:pt idx="81">
                  <c:v>0.117205381</c:v>
                </c:pt>
                <c:pt idx="82">
                  <c:v>0.118768215</c:v>
                </c:pt>
                <c:pt idx="83">
                  <c:v>0.11408031</c:v>
                </c:pt>
                <c:pt idx="84">
                  <c:v>0.14689803100000001</c:v>
                </c:pt>
                <c:pt idx="85">
                  <c:v>0.13752162500000001</c:v>
                </c:pt>
                <c:pt idx="86">
                  <c:v>0.120331049</c:v>
                </c:pt>
                <c:pt idx="87" formatCode="0.00E+00">
                  <c:v>9.3764662700000001E-2</c:v>
                </c:pt>
                <c:pt idx="88" formatCode="0.00E+00">
                  <c:v>7.3449015600000001E-2</c:v>
                </c:pt>
                <c:pt idx="89">
                  <c:v>0.12814521800000001</c:v>
                </c:pt>
                <c:pt idx="90">
                  <c:v>0.15002369900000001</c:v>
                </c:pt>
                <c:pt idx="91">
                  <c:v>0.12658238399999999</c:v>
                </c:pt>
                <c:pt idx="92">
                  <c:v>0.13908445799999999</c:v>
                </c:pt>
                <c:pt idx="93">
                  <c:v>0.13439595700000001</c:v>
                </c:pt>
                <c:pt idx="94" formatCode="0.00E+00">
                  <c:v>9.6889734300000002E-2</c:v>
                </c:pt>
                <c:pt idx="95" formatCode="0.00E+00">
                  <c:v>7.8136920900000004E-2</c:v>
                </c:pt>
                <c:pt idx="96">
                  <c:v>0.12345671699999999</c:v>
                </c:pt>
                <c:pt idx="97">
                  <c:v>0.154711604</c:v>
                </c:pt>
                <c:pt idx="98">
                  <c:v>0.17971575300000001</c:v>
                </c:pt>
                <c:pt idx="99">
                  <c:v>0.14064729200000001</c:v>
                </c:pt>
                <c:pt idx="100" formatCode="0.00E+00">
                  <c:v>8.4388256100000003E-2</c:v>
                </c:pt>
                <c:pt idx="101">
                  <c:v>0.12189388299999999</c:v>
                </c:pt>
                <c:pt idx="102">
                  <c:v>0.13127028900000001</c:v>
                </c:pt>
                <c:pt idx="103">
                  <c:v>0.135958791</c:v>
                </c:pt>
                <c:pt idx="104">
                  <c:v>0.15940010499999999</c:v>
                </c:pt>
                <c:pt idx="105">
                  <c:v>0.145335197</c:v>
                </c:pt>
                <c:pt idx="106">
                  <c:v>0.16408801100000001</c:v>
                </c:pt>
                <c:pt idx="107">
                  <c:v>0.167213678</c:v>
                </c:pt>
                <c:pt idx="108">
                  <c:v>0.117205977</c:v>
                </c:pt>
                <c:pt idx="109">
                  <c:v>0.151585937</c:v>
                </c:pt>
                <c:pt idx="110">
                  <c:v>0.16408801100000001</c:v>
                </c:pt>
                <c:pt idx="111">
                  <c:v>0.12658238399999999</c:v>
                </c:pt>
                <c:pt idx="112" formatCode="0.00E+00">
                  <c:v>9.6890330299999994E-2</c:v>
                </c:pt>
                <c:pt idx="113" formatCode="0.00E+00">
                  <c:v>9.8453164100000004E-2</c:v>
                </c:pt>
                <c:pt idx="114">
                  <c:v>0.11251747600000001</c:v>
                </c:pt>
                <c:pt idx="115">
                  <c:v>0.15783667600000001</c:v>
                </c:pt>
                <c:pt idx="116">
                  <c:v>0.13908445799999999</c:v>
                </c:pt>
                <c:pt idx="117" formatCode="0.00E+00">
                  <c:v>5.9384703599999998E-2</c:v>
                </c:pt>
                <c:pt idx="118" formatCode="0.00E+00">
                  <c:v>7.1886181800000004E-2</c:v>
                </c:pt>
                <c:pt idx="119" formatCode="0.00E+00">
                  <c:v>7.6574087099999993E-2</c:v>
                </c:pt>
                <c:pt idx="120" formatCode="0.00E+00">
                  <c:v>8.59504938E-2</c:v>
                </c:pt>
                <c:pt idx="121" formatCode="0.00E+00">
                  <c:v>9.2202425000000005E-2</c:v>
                </c:pt>
                <c:pt idx="122" formatCode="0.00E+00">
                  <c:v>7.0323944099999994E-2</c:v>
                </c:pt>
                <c:pt idx="123" formatCode="0.00E+00">
                  <c:v>8.59504938E-2</c:v>
                </c:pt>
                <c:pt idx="124" formatCode="0.00E+00">
                  <c:v>9.3764662700000001E-2</c:v>
                </c:pt>
                <c:pt idx="125">
                  <c:v>0.11251747600000001</c:v>
                </c:pt>
                <c:pt idx="126">
                  <c:v>0.184403658</c:v>
                </c:pt>
                <c:pt idx="127">
                  <c:v>0.17971575300000001</c:v>
                </c:pt>
                <c:pt idx="128">
                  <c:v>0.19221723099999999</c:v>
                </c:pt>
                <c:pt idx="129">
                  <c:v>0.184403658</c:v>
                </c:pt>
                <c:pt idx="130">
                  <c:v>0.10157883199999999</c:v>
                </c:pt>
                <c:pt idx="131">
                  <c:v>0.103141069</c:v>
                </c:pt>
                <c:pt idx="132">
                  <c:v>0.11408031</c:v>
                </c:pt>
                <c:pt idx="133">
                  <c:v>0.121894479</c:v>
                </c:pt>
                <c:pt idx="134">
                  <c:v>0.17033875000000001</c:v>
                </c:pt>
                <c:pt idx="135">
                  <c:v>0.25628983999999999</c:v>
                </c:pt>
                <c:pt idx="136">
                  <c:v>0.17971575300000001</c:v>
                </c:pt>
                <c:pt idx="137" formatCode="0.00E+00">
                  <c:v>6.4072608899999994E-2</c:v>
                </c:pt>
                <c:pt idx="138" formatCode="0.00E+00">
                  <c:v>9.0638995200000003E-2</c:v>
                </c:pt>
                <c:pt idx="139" formatCode="0.00E+00">
                  <c:v>7.1886181800000004E-2</c:v>
                </c:pt>
                <c:pt idx="140" formatCode="0.00E+00">
                  <c:v>6.2509775200000006E-2</c:v>
                </c:pt>
                <c:pt idx="141" formatCode="0.00E+00">
                  <c:v>7.6574385199999997E-2</c:v>
                </c:pt>
                <c:pt idx="142" formatCode="0.00E+00">
                  <c:v>6.5635442700000005E-2</c:v>
                </c:pt>
                <c:pt idx="143" formatCode="0.00E+00">
                  <c:v>6.4072608899999994E-2</c:v>
                </c:pt>
                <c:pt idx="144" formatCode="0.00E+00">
                  <c:v>7.1886181800000004E-2</c:v>
                </c:pt>
                <c:pt idx="145" formatCode="0.00E+00">
                  <c:v>5.6258738000000003E-2</c:v>
                </c:pt>
                <c:pt idx="146" formatCode="0.00E+00">
                  <c:v>5.31333685E-2</c:v>
                </c:pt>
                <c:pt idx="147" formatCode="0.00E+00">
                  <c:v>6.7197978500000005E-2</c:v>
                </c:pt>
                <c:pt idx="148" formatCode="0.00E+00">
                  <c:v>8.4388256100000003E-2</c:v>
                </c:pt>
                <c:pt idx="149" formatCode="0.00E+00">
                  <c:v>9.0639293199999998E-2</c:v>
                </c:pt>
                <c:pt idx="150" formatCode="0.00E+00">
                  <c:v>7.3449015600000001E-2</c:v>
                </c:pt>
                <c:pt idx="151" formatCode="0.00E+00">
                  <c:v>6.2509775200000006E-2</c:v>
                </c:pt>
                <c:pt idx="152">
                  <c:v>0.10470360500000001</c:v>
                </c:pt>
                <c:pt idx="153" formatCode="0.00E+00">
                  <c:v>9.8452866099999994E-2</c:v>
                </c:pt>
                <c:pt idx="154" formatCode="0.00E+00">
                  <c:v>8.4388256100000003E-2</c:v>
                </c:pt>
                <c:pt idx="155">
                  <c:v>0.1000157</c:v>
                </c:pt>
                <c:pt idx="156">
                  <c:v>0.1000157</c:v>
                </c:pt>
                <c:pt idx="157">
                  <c:v>0.107829273</c:v>
                </c:pt>
                <c:pt idx="158">
                  <c:v>0.101578236</c:v>
                </c:pt>
                <c:pt idx="159">
                  <c:v>0.12501955000000001</c:v>
                </c:pt>
                <c:pt idx="160">
                  <c:v>0.157837272</c:v>
                </c:pt>
                <c:pt idx="161">
                  <c:v>0.16408801100000001</c:v>
                </c:pt>
                <c:pt idx="162">
                  <c:v>0.21722137899999999</c:v>
                </c:pt>
                <c:pt idx="163">
                  <c:v>0.196905732</c:v>
                </c:pt>
                <c:pt idx="164" formatCode="0.00E+00">
                  <c:v>9.3764662700000001E-2</c:v>
                </c:pt>
                <c:pt idx="165">
                  <c:v>0.17815291899999999</c:v>
                </c:pt>
                <c:pt idx="166">
                  <c:v>0.18284112199999999</c:v>
                </c:pt>
                <c:pt idx="167" formatCode="0.00E+00">
                  <c:v>7.8137218999999994E-2</c:v>
                </c:pt>
                <c:pt idx="168">
                  <c:v>0.12970775400000001</c:v>
                </c:pt>
                <c:pt idx="169">
                  <c:v>0.153149068</c:v>
                </c:pt>
                <c:pt idx="170" formatCode="0.00E+00">
                  <c:v>9.2201828999999999E-2</c:v>
                </c:pt>
                <c:pt idx="171" formatCode="0.00E+00">
                  <c:v>6.7197978500000005E-2</c:v>
                </c:pt>
                <c:pt idx="172">
                  <c:v>0.13439595700000001</c:v>
                </c:pt>
                <c:pt idx="173">
                  <c:v>0.13595849300000001</c:v>
                </c:pt>
                <c:pt idx="174" formatCode="0.00E+00">
                  <c:v>9.3764662700000001E-2</c:v>
                </c:pt>
                <c:pt idx="175" formatCode="0.00E+00">
                  <c:v>8.1262886500000006E-2</c:v>
                </c:pt>
                <c:pt idx="176" formatCode="0.00E+00">
                  <c:v>9.8452866099999994E-2</c:v>
                </c:pt>
                <c:pt idx="177">
                  <c:v>0.11251747600000001</c:v>
                </c:pt>
              </c:numCache>
            </c:numRef>
          </c:yVal>
          <c:smooth val="1"/>
          <c:extLst>
            <c:ext xmlns:c16="http://schemas.microsoft.com/office/drawing/2014/chart" uri="{C3380CC4-5D6E-409C-BE32-E72D297353CC}">
              <c16:uniqueId val="{00000000-986E-804D-BC23-339EC6D86725}"/>
            </c:ext>
          </c:extLst>
        </c:ser>
        <c:ser>
          <c:idx val="2"/>
          <c:order val="2"/>
          <c:tx>
            <c:strRef>
              <c:f>Total_PSD!$E$3</c:f>
              <c:strCache>
                <c:ptCount val="1"/>
                <c:pt idx="0">
                  <c:v>C500</c:v>
                </c:pt>
              </c:strCache>
            </c:strRef>
          </c:tx>
          <c:spPr>
            <a:ln w="19050" cap="rnd">
              <a:solidFill>
                <a:srgbClr val="00B0F0"/>
              </a:solidFill>
              <a:round/>
            </a:ln>
            <a:effectLst/>
          </c:spPr>
          <c:marker>
            <c:symbol val="none"/>
          </c:marker>
          <c:xVal>
            <c:numRef>
              <c:f>Total_PSD!$E$5:$E$182</c:f>
              <c:numCache>
                <c:formatCode>0.00E+00</c:formatCode>
                <c:ptCount val="178"/>
                <c:pt idx="0">
                  <c:v>2.50000004E-2</c:v>
                </c:pt>
                <c:pt idx="1">
                  <c:v>7.5000002999999996E-2</c:v>
                </c:pt>
                <c:pt idx="2" formatCode="General">
                  <c:v>0.125</c:v>
                </c:pt>
                <c:pt idx="3" formatCode="General">
                  <c:v>0.17499999699999999</c:v>
                </c:pt>
                <c:pt idx="4" formatCode="General">
                  <c:v>0.22499999400000001</c:v>
                </c:pt>
                <c:pt idx="5" formatCode="General">
                  <c:v>0.27500000600000002</c:v>
                </c:pt>
                <c:pt idx="6" formatCode="General">
                  <c:v>0.32499998800000002</c:v>
                </c:pt>
                <c:pt idx="7" formatCode="General">
                  <c:v>0.375</c:v>
                </c:pt>
                <c:pt idx="8" formatCode="General">
                  <c:v>0.42500001199999998</c:v>
                </c:pt>
                <c:pt idx="9" formatCode="General">
                  <c:v>0.47499999399999998</c:v>
                </c:pt>
                <c:pt idx="10" formatCode="General">
                  <c:v>0.525000036</c:v>
                </c:pt>
                <c:pt idx="11" formatCode="General">
                  <c:v>0.57500004800000004</c:v>
                </c:pt>
                <c:pt idx="12" formatCode="General">
                  <c:v>0.62500005999999997</c:v>
                </c:pt>
                <c:pt idx="13" formatCode="General">
                  <c:v>0.67500001200000004</c:v>
                </c:pt>
                <c:pt idx="14" formatCode="General">
                  <c:v>0.72500002399999997</c:v>
                </c:pt>
                <c:pt idx="15" formatCode="General">
                  <c:v>0.775000036</c:v>
                </c:pt>
                <c:pt idx="16" formatCode="General">
                  <c:v>0.82500004800000004</c:v>
                </c:pt>
                <c:pt idx="17" formatCode="General">
                  <c:v>0.87500005999999997</c:v>
                </c:pt>
                <c:pt idx="18" formatCode="General">
                  <c:v>0.92500001200000004</c:v>
                </c:pt>
                <c:pt idx="19" formatCode="General">
                  <c:v>0.97500002399999997</c:v>
                </c:pt>
                <c:pt idx="20" formatCode="General">
                  <c:v>1.0250001</c:v>
                </c:pt>
                <c:pt idx="21" formatCode="General">
                  <c:v>1.0750000500000001</c:v>
                </c:pt>
                <c:pt idx="22" formatCode="General">
                  <c:v>1.125</c:v>
                </c:pt>
                <c:pt idx="23" formatCode="General">
                  <c:v>1.1750000700000001</c:v>
                </c:pt>
                <c:pt idx="24" formatCode="General">
                  <c:v>1.22500002</c:v>
                </c:pt>
                <c:pt idx="25" formatCode="General">
                  <c:v>1.2750001</c:v>
                </c:pt>
                <c:pt idx="26" formatCode="General">
                  <c:v>1.3250000500000001</c:v>
                </c:pt>
                <c:pt idx="27" formatCode="General">
                  <c:v>1.375</c:v>
                </c:pt>
                <c:pt idx="28" formatCode="General">
                  <c:v>1.4250000700000001</c:v>
                </c:pt>
                <c:pt idx="29" formatCode="General">
                  <c:v>1.47500002</c:v>
                </c:pt>
                <c:pt idx="30" formatCode="General">
                  <c:v>1.5250001</c:v>
                </c:pt>
                <c:pt idx="31" formatCode="General">
                  <c:v>1.5750000500000001</c:v>
                </c:pt>
                <c:pt idx="32" formatCode="General">
                  <c:v>1.625</c:v>
                </c:pt>
                <c:pt idx="33" formatCode="General">
                  <c:v>1.6750000700000001</c:v>
                </c:pt>
                <c:pt idx="34" formatCode="General">
                  <c:v>1.72500002</c:v>
                </c:pt>
                <c:pt idx="35" formatCode="General">
                  <c:v>1.7750001</c:v>
                </c:pt>
                <c:pt idx="36" formatCode="General">
                  <c:v>1.8250000500000001</c:v>
                </c:pt>
                <c:pt idx="37" formatCode="General">
                  <c:v>1.875</c:v>
                </c:pt>
                <c:pt idx="38" formatCode="General">
                  <c:v>1.9250000700000001</c:v>
                </c:pt>
                <c:pt idx="39" formatCode="General">
                  <c:v>1.97500002</c:v>
                </c:pt>
                <c:pt idx="40" formatCode="General">
                  <c:v>2.0249998599999999</c:v>
                </c:pt>
                <c:pt idx="41" formatCode="General">
                  <c:v>2.0750000499999999</c:v>
                </c:pt>
                <c:pt idx="42" formatCode="General">
                  <c:v>2.125</c:v>
                </c:pt>
                <c:pt idx="43" formatCode="General">
                  <c:v>2.1749999500000001</c:v>
                </c:pt>
                <c:pt idx="44" formatCode="General">
                  <c:v>2.2249998999999998</c:v>
                </c:pt>
                <c:pt idx="45" formatCode="General">
                  <c:v>2.2749998599999999</c:v>
                </c:pt>
                <c:pt idx="46" formatCode="General">
                  <c:v>2.3250000499999999</c:v>
                </c:pt>
                <c:pt idx="47" formatCode="General">
                  <c:v>2.375</c:v>
                </c:pt>
                <c:pt idx="48" formatCode="General">
                  <c:v>2.4249999500000001</c:v>
                </c:pt>
                <c:pt idx="49" formatCode="General">
                  <c:v>2.4749998999999998</c:v>
                </c:pt>
                <c:pt idx="50" formatCode="General">
                  <c:v>2.5249998599999999</c:v>
                </c:pt>
                <c:pt idx="51" formatCode="General">
                  <c:v>2.5750000499999999</c:v>
                </c:pt>
                <c:pt idx="52" formatCode="General">
                  <c:v>2.625</c:v>
                </c:pt>
                <c:pt idx="53" formatCode="General">
                  <c:v>2.6749999500000001</c:v>
                </c:pt>
                <c:pt idx="54" formatCode="General">
                  <c:v>2.7249998999999998</c:v>
                </c:pt>
                <c:pt idx="55" formatCode="General">
                  <c:v>2.7749998599999999</c:v>
                </c:pt>
                <c:pt idx="56" formatCode="General">
                  <c:v>2.8250000499999999</c:v>
                </c:pt>
                <c:pt idx="57" formatCode="General">
                  <c:v>2.875</c:v>
                </c:pt>
                <c:pt idx="58" formatCode="General">
                  <c:v>2.9249999500000001</c:v>
                </c:pt>
                <c:pt idx="59" formatCode="General">
                  <c:v>2.9749998999999998</c:v>
                </c:pt>
                <c:pt idx="60" formatCode="General">
                  <c:v>3.0249998599999999</c:v>
                </c:pt>
                <c:pt idx="61" formatCode="General">
                  <c:v>3.0750000499999999</c:v>
                </c:pt>
                <c:pt idx="62" formatCode="General">
                  <c:v>3.125</c:v>
                </c:pt>
                <c:pt idx="63" formatCode="General">
                  <c:v>3.1749999500000001</c:v>
                </c:pt>
                <c:pt idx="64" formatCode="General">
                  <c:v>3.2249998999999998</c:v>
                </c:pt>
                <c:pt idx="65" formatCode="General">
                  <c:v>3.2749998599999999</c:v>
                </c:pt>
                <c:pt idx="66" formatCode="General">
                  <c:v>3.3250000499999999</c:v>
                </c:pt>
                <c:pt idx="67" formatCode="General">
                  <c:v>3.375</c:v>
                </c:pt>
                <c:pt idx="68" formatCode="General">
                  <c:v>3.4249999500000001</c:v>
                </c:pt>
                <c:pt idx="69" formatCode="General">
                  <c:v>3.4749998999999998</c:v>
                </c:pt>
                <c:pt idx="70" formatCode="General">
                  <c:v>3.5249998599999999</c:v>
                </c:pt>
                <c:pt idx="71" formatCode="General">
                  <c:v>3.5750000499999999</c:v>
                </c:pt>
                <c:pt idx="72" formatCode="General">
                  <c:v>3.625</c:v>
                </c:pt>
                <c:pt idx="73" formatCode="General">
                  <c:v>3.6749999500000001</c:v>
                </c:pt>
                <c:pt idx="74" formatCode="General">
                  <c:v>3.7249998999999998</c:v>
                </c:pt>
                <c:pt idx="75" formatCode="General">
                  <c:v>3.7749998599999999</c:v>
                </c:pt>
                <c:pt idx="76" formatCode="General">
                  <c:v>3.8250000499999999</c:v>
                </c:pt>
                <c:pt idx="77" formatCode="General">
                  <c:v>3.875</c:v>
                </c:pt>
                <c:pt idx="78" formatCode="General">
                  <c:v>3.9249999500000001</c:v>
                </c:pt>
                <c:pt idx="79" formatCode="General">
                  <c:v>3.9749998999999998</c:v>
                </c:pt>
                <c:pt idx="80" formatCode="General">
                  <c:v>4.0250000999999997</c:v>
                </c:pt>
                <c:pt idx="81" formatCode="General">
                  <c:v>4.0749998099999996</c:v>
                </c:pt>
                <c:pt idx="82" formatCode="General">
                  <c:v>4.125</c:v>
                </c:pt>
                <c:pt idx="83" formatCode="General">
                  <c:v>4.1750001900000004</c:v>
                </c:pt>
                <c:pt idx="84" formatCode="General">
                  <c:v>4.2249999000000003</c:v>
                </c:pt>
                <c:pt idx="85" formatCode="General">
                  <c:v>4.2750000999999997</c:v>
                </c:pt>
                <c:pt idx="86" formatCode="General">
                  <c:v>4.3249998099999996</c:v>
                </c:pt>
                <c:pt idx="87" formatCode="General">
                  <c:v>4.375</c:v>
                </c:pt>
                <c:pt idx="88" formatCode="General">
                  <c:v>4.4250001900000004</c:v>
                </c:pt>
                <c:pt idx="89" formatCode="General">
                  <c:v>4.4749999000000003</c:v>
                </c:pt>
                <c:pt idx="90" formatCode="General">
                  <c:v>4.5250000999999997</c:v>
                </c:pt>
                <c:pt idx="91" formatCode="General">
                  <c:v>4.5749998099999996</c:v>
                </c:pt>
                <c:pt idx="92" formatCode="General">
                  <c:v>4.625</c:v>
                </c:pt>
                <c:pt idx="93" formatCode="General">
                  <c:v>4.6750001900000004</c:v>
                </c:pt>
                <c:pt idx="94" formatCode="General">
                  <c:v>4.7249999000000003</c:v>
                </c:pt>
                <c:pt idx="95" formatCode="General">
                  <c:v>4.7750000999999997</c:v>
                </c:pt>
                <c:pt idx="96" formatCode="General">
                  <c:v>4.8249998099999996</c:v>
                </c:pt>
                <c:pt idx="97" formatCode="General">
                  <c:v>4.875</c:v>
                </c:pt>
                <c:pt idx="98" formatCode="General">
                  <c:v>4.9250001900000004</c:v>
                </c:pt>
                <c:pt idx="99" formatCode="General">
                  <c:v>4.9749999000000003</c:v>
                </c:pt>
                <c:pt idx="100" formatCode="General">
                  <c:v>5.0250000999999997</c:v>
                </c:pt>
                <c:pt idx="101" formatCode="General">
                  <c:v>5.0749998099999996</c:v>
                </c:pt>
                <c:pt idx="102" formatCode="General">
                  <c:v>5.125</c:v>
                </c:pt>
                <c:pt idx="103" formatCode="General">
                  <c:v>5.1750001900000004</c:v>
                </c:pt>
                <c:pt idx="104" formatCode="General">
                  <c:v>5.2249999000000003</c:v>
                </c:pt>
                <c:pt idx="105" formatCode="General">
                  <c:v>5.2750000999999997</c:v>
                </c:pt>
                <c:pt idx="106" formatCode="General">
                  <c:v>5.3249998099999996</c:v>
                </c:pt>
                <c:pt idx="107" formatCode="General">
                  <c:v>5.375</c:v>
                </c:pt>
                <c:pt idx="108" formatCode="General">
                  <c:v>5.4250001900000004</c:v>
                </c:pt>
                <c:pt idx="109" formatCode="General">
                  <c:v>5.4749999000000003</c:v>
                </c:pt>
                <c:pt idx="110" formatCode="General">
                  <c:v>5.5250000999999997</c:v>
                </c:pt>
                <c:pt idx="111" formatCode="General">
                  <c:v>5.5749998099999996</c:v>
                </c:pt>
                <c:pt idx="112" formatCode="General">
                  <c:v>5.625</c:v>
                </c:pt>
                <c:pt idx="113" formatCode="General">
                  <c:v>5.6750001900000004</c:v>
                </c:pt>
                <c:pt idx="114" formatCode="General">
                  <c:v>5.7249999000000003</c:v>
                </c:pt>
                <c:pt idx="115" formatCode="General">
                  <c:v>5.7750000999999997</c:v>
                </c:pt>
                <c:pt idx="116" formatCode="General">
                  <c:v>5.8249998099999996</c:v>
                </c:pt>
                <c:pt idx="117" formatCode="General">
                  <c:v>5.875</c:v>
                </c:pt>
                <c:pt idx="118" formatCode="General">
                  <c:v>5.9250001900000004</c:v>
                </c:pt>
                <c:pt idx="119" formatCode="General">
                  <c:v>5.9749999000000003</c:v>
                </c:pt>
                <c:pt idx="120" formatCode="General">
                  <c:v>6.0250000999999997</c:v>
                </c:pt>
                <c:pt idx="121" formatCode="General">
                  <c:v>6.0749998099999996</c:v>
                </c:pt>
                <c:pt idx="122" formatCode="General">
                  <c:v>6.125</c:v>
                </c:pt>
                <c:pt idx="123" formatCode="General">
                  <c:v>6.1750001900000004</c:v>
                </c:pt>
                <c:pt idx="124" formatCode="General">
                  <c:v>6.2249999000000003</c:v>
                </c:pt>
                <c:pt idx="125" formatCode="General">
                  <c:v>6.2750000999999997</c:v>
                </c:pt>
                <c:pt idx="126" formatCode="General">
                  <c:v>6.3249998099999996</c:v>
                </c:pt>
                <c:pt idx="127" formatCode="General">
                  <c:v>6.375</c:v>
                </c:pt>
                <c:pt idx="128" formatCode="General">
                  <c:v>6.4250001900000004</c:v>
                </c:pt>
                <c:pt idx="129" formatCode="General">
                  <c:v>6.4749999000000003</c:v>
                </c:pt>
                <c:pt idx="130" formatCode="General">
                  <c:v>6.5250000999999997</c:v>
                </c:pt>
                <c:pt idx="131" formatCode="General">
                  <c:v>6.5749998099999996</c:v>
                </c:pt>
                <c:pt idx="132" formatCode="General">
                  <c:v>6.625</c:v>
                </c:pt>
                <c:pt idx="133" formatCode="General">
                  <c:v>6.6750001900000004</c:v>
                </c:pt>
                <c:pt idx="134" formatCode="General">
                  <c:v>6.7249999000000003</c:v>
                </c:pt>
                <c:pt idx="135" formatCode="General">
                  <c:v>6.7750000999999997</c:v>
                </c:pt>
                <c:pt idx="136" formatCode="General">
                  <c:v>6.8249998099999996</c:v>
                </c:pt>
                <c:pt idx="137" formatCode="General">
                  <c:v>6.875</c:v>
                </c:pt>
                <c:pt idx="138" formatCode="General">
                  <c:v>6.9250001900000004</c:v>
                </c:pt>
                <c:pt idx="139" formatCode="General">
                  <c:v>6.9749999000000003</c:v>
                </c:pt>
                <c:pt idx="140" formatCode="General">
                  <c:v>7.0250000999999997</c:v>
                </c:pt>
                <c:pt idx="141" formatCode="General">
                  <c:v>7.0749998099999996</c:v>
                </c:pt>
                <c:pt idx="142" formatCode="General">
                  <c:v>7.125</c:v>
                </c:pt>
                <c:pt idx="143" formatCode="General">
                  <c:v>7.1750001900000004</c:v>
                </c:pt>
                <c:pt idx="144" formatCode="General">
                  <c:v>7.2249999000000003</c:v>
                </c:pt>
                <c:pt idx="145" formatCode="General">
                  <c:v>7.2750000999999997</c:v>
                </c:pt>
                <c:pt idx="146" formatCode="General">
                  <c:v>7.3249998099999996</c:v>
                </c:pt>
                <c:pt idx="147" formatCode="General">
                  <c:v>7.375</c:v>
                </c:pt>
                <c:pt idx="148" formatCode="General">
                  <c:v>7.4250001900000004</c:v>
                </c:pt>
                <c:pt idx="149" formatCode="General">
                  <c:v>7.4749999000000003</c:v>
                </c:pt>
                <c:pt idx="150" formatCode="General">
                  <c:v>7.5250000999999997</c:v>
                </c:pt>
                <c:pt idx="151" formatCode="General">
                  <c:v>7.5749998099999996</c:v>
                </c:pt>
                <c:pt idx="152" formatCode="General">
                  <c:v>7.625</c:v>
                </c:pt>
                <c:pt idx="153" formatCode="General">
                  <c:v>7.6750001900000004</c:v>
                </c:pt>
                <c:pt idx="154" formatCode="General">
                  <c:v>7.7249999000000003</c:v>
                </c:pt>
                <c:pt idx="155" formatCode="General">
                  <c:v>7.7750000999999997</c:v>
                </c:pt>
                <c:pt idx="156" formatCode="General">
                  <c:v>7.8249998099999996</c:v>
                </c:pt>
                <c:pt idx="157" formatCode="General">
                  <c:v>7.875</c:v>
                </c:pt>
                <c:pt idx="158" formatCode="General">
                  <c:v>7.9250001900000004</c:v>
                </c:pt>
                <c:pt idx="159" formatCode="General">
                  <c:v>7.9749999000000003</c:v>
                </c:pt>
                <c:pt idx="160" formatCode="General">
                  <c:v>8.0250005699999996</c:v>
                </c:pt>
                <c:pt idx="161" formatCode="General">
                  <c:v>8.07500076</c:v>
                </c:pt>
                <c:pt idx="162" formatCode="General">
                  <c:v>8.1250009500000004</c:v>
                </c:pt>
                <c:pt idx="163" formatCode="General">
                  <c:v>8.1750001900000004</c:v>
                </c:pt>
                <c:pt idx="164" formatCode="General">
                  <c:v>8.2250003800000009</c:v>
                </c:pt>
                <c:pt idx="165" formatCode="General">
                  <c:v>8.2750005699999996</c:v>
                </c:pt>
                <c:pt idx="166" formatCode="General">
                  <c:v>8.32500076</c:v>
                </c:pt>
                <c:pt idx="167" formatCode="General">
                  <c:v>8.3750009500000004</c:v>
                </c:pt>
                <c:pt idx="168" formatCode="General">
                  <c:v>8.4250001900000004</c:v>
                </c:pt>
                <c:pt idx="169" formatCode="General">
                  <c:v>8.4750003800000009</c:v>
                </c:pt>
                <c:pt idx="170" formatCode="General">
                  <c:v>8.5250005699999996</c:v>
                </c:pt>
                <c:pt idx="171" formatCode="General">
                  <c:v>8.57500076</c:v>
                </c:pt>
                <c:pt idx="172" formatCode="General">
                  <c:v>8.6250009500000004</c:v>
                </c:pt>
                <c:pt idx="173" formatCode="General">
                  <c:v>8.6750001900000004</c:v>
                </c:pt>
                <c:pt idx="174" formatCode="General">
                  <c:v>8.7250003800000009</c:v>
                </c:pt>
                <c:pt idx="175" formatCode="General">
                  <c:v>8.7750005699999996</c:v>
                </c:pt>
                <c:pt idx="176" formatCode="General">
                  <c:v>8.82500076</c:v>
                </c:pt>
                <c:pt idx="177" formatCode="General">
                  <c:v>8.8750009500000004</c:v>
                </c:pt>
              </c:numCache>
            </c:numRef>
          </c:xVal>
          <c:yVal>
            <c:numRef>
              <c:f>Total_PSD!$F$5:$F$182</c:f>
              <c:numCache>
                <c:formatCode>General</c:formatCode>
                <c:ptCount val="17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formatCode="0.00E+00">
                  <c:v>2.9015541100000002E-3</c:v>
                </c:pt>
                <c:pt idx="50" formatCode="0.00E+00">
                  <c:v>1.1606216399999999E-2</c:v>
                </c:pt>
                <c:pt idx="51" formatCode="0.00E+00">
                  <c:v>8.7046623200000006E-3</c:v>
                </c:pt>
                <c:pt idx="52" formatCode="0.00E+00">
                  <c:v>1.4507770499999999E-3</c:v>
                </c:pt>
                <c:pt idx="53" formatCode="0.00E+00">
                  <c:v>4.3517351200000002E-3</c:v>
                </c:pt>
                <c:pt idx="54" formatCode="0.00E+00">
                  <c:v>4.3517351200000002E-3</c:v>
                </c:pt>
                <c:pt idx="55" formatCode="0.00E+00">
                  <c:v>5.8031082200000004E-3</c:v>
                </c:pt>
                <c:pt idx="56" formatCode="0.00E+00">
                  <c:v>1.0155439400000001E-2</c:v>
                </c:pt>
                <c:pt idx="57" formatCode="0.00E+00">
                  <c:v>1.4507770499999999E-2</c:v>
                </c:pt>
                <c:pt idx="58" formatCode="0.00E+00">
                  <c:v>2.0310282700000001E-2</c:v>
                </c:pt>
                <c:pt idx="59" formatCode="0.00E+00">
                  <c:v>2.17610598E-2</c:v>
                </c:pt>
                <c:pt idx="60" formatCode="0.00E+00">
                  <c:v>2.1761655800000002E-2</c:v>
                </c:pt>
                <c:pt idx="61" formatCode="0.00E+00">
                  <c:v>2.4662613900000002E-2</c:v>
                </c:pt>
                <c:pt idx="62" formatCode="0.00E+00">
                  <c:v>2.9014945E-2</c:v>
                </c:pt>
                <c:pt idx="63" formatCode="0.00E+00">
                  <c:v>3.6268830299999999E-2</c:v>
                </c:pt>
                <c:pt idx="64" formatCode="0.00E+00">
                  <c:v>5.0776004800000003E-2</c:v>
                </c:pt>
                <c:pt idx="65" formatCode="0.00E+00">
                  <c:v>7.9790949799999997E-2</c:v>
                </c:pt>
                <c:pt idx="66">
                  <c:v>0.100101233</c:v>
                </c:pt>
                <c:pt idx="67">
                  <c:v>0.10445416</c:v>
                </c:pt>
                <c:pt idx="68" formatCode="0.00E+00">
                  <c:v>9.7200274500000003E-2</c:v>
                </c:pt>
                <c:pt idx="69">
                  <c:v>0.108805895</c:v>
                </c:pt>
                <c:pt idx="70">
                  <c:v>0.113158226</c:v>
                </c:pt>
                <c:pt idx="71">
                  <c:v>0.114609003</c:v>
                </c:pt>
                <c:pt idx="72">
                  <c:v>0.103003383</c:v>
                </c:pt>
                <c:pt idx="73" formatCode="0.00E+00">
                  <c:v>9.1397166299999999E-2</c:v>
                </c:pt>
                <c:pt idx="74">
                  <c:v>0.13056695500000001</c:v>
                </c:pt>
                <c:pt idx="75">
                  <c:v>0.110256672</c:v>
                </c:pt>
                <c:pt idx="76" formatCode="0.00E+00">
                  <c:v>7.5438618700000001E-2</c:v>
                </c:pt>
                <c:pt idx="77" formatCode="0.00E+00">
                  <c:v>7.2537064600000006E-2</c:v>
                </c:pt>
                <c:pt idx="78" formatCode="0.00E+00">
                  <c:v>6.3832998299999999E-2</c:v>
                </c:pt>
                <c:pt idx="79" formatCode="0.00E+00">
                  <c:v>6.8185329399999994E-2</c:v>
                </c:pt>
                <c:pt idx="80" formatCode="0.00E+00">
                  <c:v>8.5594058000000001E-2</c:v>
                </c:pt>
                <c:pt idx="81">
                  <c:v>0.100101233</c:v>
                </c:pt>
                <c:pt idx="82" formatCode="0.00E+00">
                  <c:v>8.5594058000000001E-2</c:v>
                </c:pt>
                <c:pt idx="83" formatCode="0.00E+00">
                  <c:v>7.6889991800000002E-2</c:v>
                </c:pt>
                <c:pt idx="84" formatCode="0.00E+00">
                  <c:v>8.7044835099999995E-2</c:v>
                </c:pt>
                <c:pt idx="85" formatCode="0.00E+00">
                  <c:v>7.6889395700000002E-2</c:v>
                </c:pt>
                <c:pt idx="86" formatCode="0.00E+00">
                  <c:v>7.6889991800000002E-2</c:v>
                </c:pt>
                <c:pt idx="87" formatCode="0.00E+00">
                  <c:v>8.5594058000000001E-2</c:v>
                </c:pt>
                <c:pt idx="88">
                  <c:v>0.103002787</c:v>
                </c:pt>
                <c:pt idx="89">
                  <c:v>0.101552606</c:v>
                </c:pt>
                <c:pt idx="90" formatCode="0.00E+00">
                  <c:v>6.5283775299999999E-2</c:v>
                </c:pt>
                <c:pt idx="91" formatCode="0.00E+00">
                  <c:v>6.6733956299999994E-2</c:v>
                </c:pt>
                <c:pt idx="92" formatCode="0.00E+00">
                  <c:v>8.4143281E-2</c:v>
                </c:pt>
                <c:pt idx="93" formatCode="0.00E+00">
                  <c:v>8.2693100000000005E-2</c:v>
                </c:pt>
                <c:pt idx="94" formatCode="0.00E+00">
                  <c:v>8.4143281E-2</c:v>
                </c:pt>
                <c:pt idx="95" formatCode="0.00E+00">
                  <c:v>9.8650455499999998E-2</c:v>
                </c:pt>
                <c:pt idx="96">
                  <c:v>0.113158226</c:v>
                </c:pt>
                <c:pt idx="97">
                  <c:v>0.101552606</c:v>
                </c:pt>
                <c:pt idx="98" formatCode="0.00E+00">
                  <c:v>6.9636106500000003E-2</c:v>
                </c:pt>
                <c:pt idx="99" formatCode="0.00E+00">
                  <c:v>9.7199678400000003E-2</c:v>
                </c:pt>
                <c:pt idx="100">
                  <c:v>0.11605978</c:v>
                </c:pt>
                <c:pt idx="101">
                  <c:v>0.107355118</c:v>
                </c:pt>
                <c:pt idx="102">
                  <c:v>0.107355118</c:v>
                </c:pt>
                <c:pt idx="103">
                  <c:v>0.100101829</c:v>
                </c:pt>
                <c:pt idx="104">
                  <c:v>0.105904341</c:v>
                </c:pt>
                <c:pt idx="105">
                  <c:v>0.108805895</c:v>
                </c:pt>
                <c:pt idx="106">
                  <c:v>0.100101829</c:v>
                </c:pt>
                <c:pt idx="107" formatCode="0.00E+00">
                  <c:v>9.5749497399999994E-2</c:v>
                </c:pt>
                <c:pt idx="108">
                  <c:v>0.104453564</c:v>
                </c:pt>
                <c:pt idx="109">
                  <c:v>0.13637006300000001</c:v>
                </c:pt>
                <c:pt idx="110">
                  <c:v>0.134919286</c:v>
                </c:pt>
                <c:pt idx="111" formatCode="0.00E+00">
                  <c:v>9.8651051500000003E-2</c:v>
                </c:pt>
                <c:pt idx="112">
                  <c:v>0.103003383</c:v>
                </c:pt>
                <c:pt idx="113">
                  <c:v>0.12766540100000001</c:v>
                </c:pt>
                <c:pt idx="114">
                  <c:v>0.110256672</c:v>
                </c:pt>
                <c:pt idx="115" formatCode="0.00E+00">
                  <c:v>8.8495612099999996E-2</c:v>
                </c:pt>
                <c:pt idx="116" formatCode="0.00E+00">
                  <c:v>8.4143281E-2</c:v>
                </c:pt>
                <c:pt idx="117" formatCode="0.00E+00">
                  <c:v>8.8495612099999996E-2</c:v>
                </c:pt>
                <c:pt idx="118">
                  <c:v>0.11605978</c:v>
                </c:pt>
                <c:pt idx="119">
                  <c:v>0.146525502</c:v>
                </c:pt>
                <c:pt idx="120">
                  <c:v>0.143623948</c:v>
                </c:pt>
                <c:pt idx="121" formatCode="0.00E+00">
                  <c:v>9.7200274500000003E-2</c:v>
                </c:pt>
                <c:pt idx="122" formatCode="0.00E+00">
                  <c:v>7.8340172799999996E-2</c:v>
                </c:pt>
                <c:pt idx="123">
                  <c:v>0.111707449</c:v>
                </c:pt>
                <c:pt idx="124">
                  <c:v>0.14362454399999999</c:v>
                </c:pt>
                <c:pt idx="125">
                  <c:v>0.13056695500000001</c:v>
                </c:pt>
                <c:pt idx="126">
                  <c:v>0.16393423100000001</c:v>
                </c:pt>
                <c:pt idx="127">
                  <c:v>0.14797627899999999</c:v>
                </c:pt>
                <c:pt idx="128">
                  <c:v>0.14507472499999999</c:v>
                </c:pt>
                <c:pt idx="129">
                  <c:v>0.176991224</c:v>
                </c:pt>
                <c:pt idx="130">
                  <c:v>0.12766540100000001</c:v>
                </c:pt>
                <c:pt idx="131">
                  <c:v>0.146525502</c:v>
                </c:pt>
                <c:pt idx="132">
                  <c:v>0.14072298999999999</c:v>
                </c:pt>
                <c:pt idx="133">
                  <c:v>0.121862888</c:v>
                </c:pt>
                <c:pt idx="134">
                  <c:v>0.15522956800000001</c:v>
                </c:pt>
                <c:pt idx="135">
                  <c:v>0.26258528199999998</c:v>
                </c:pt>
                <c:pt idx="136">
                  <c:v>0.2103585</c:v>
                </c:pt>
                <c:pt idx="137" formatCode="0.00E+00">
                  <c:v>7.6889395700000002E-2</c:v>
                </c:pt>
                <c:pt idx="138" formatCode="0.00E+00">
                  <c:v>9.8650455499999998E-2</c:v>
                </c:pt>
                <c:pt idx="139" formatCode="0.00E+00">
                  <c:v>8.9946389200000004E-2</c:v>
                </c:pt>
                <c:pt idx="140" formatCode="0.00E+00">
                  <c:v>9.4298720399999994E-2</c:v>
                </c:pt>
                <c:pt idx="141">
                  <c:v>0.16393423100000001</c:v>
                </c:pt>
                <c:pt idx="142">
                  <c:v>0.155230165</c:v>
                </c:pt>
                <c:pt idx="143">
                  <c:v>0.17263889299999999</c:v>
                </c:pt>
                <c:pt idx="144">
                  <c:v>0.19585073</c:v>
                </c:pt>
                <c:pt idx="145">
                  <c:v>0.213260055</c:v>
                </c:pt>
                <c:pt idx="146">
                  <c:v>0.23211956</c:v>
                </c:pt>
                <c:pt idx="147">
                  <c:v>0.48745095700000002</c:v>
                </c:pt>
                <c:pt idx="148">
                  <c:v>0.47729581599999998</c:v>
                </c:pt>
                <c:pt idx="149">
                  <c:v>0.117510557</c:v>
                </c:pt>
                <c:pt idx="150" formatCode="0.00E+00">
                  <c:v>8.1241726900000005E-2</c:v>
                </c:pt>
                <c:pt idx="151">
                  <c:v>0.13201803000000001</c:v>
                </c:pt>
                <c:pt idx="152">
                  <c:v>0.15232861</c:v>
                </c:pt>
                <c:pt idx="153">
                  <c:v>0.10300308499999999</c:v>
                </c:pt>
                <c:pt idx="154" formatCode="0.00E+00">
                  <c:v>9.2847645300000003E-2</c:v>
                </c:pt>
                <c:pt idx="155" formatCode="0.00E+00">
                  <c:v>9.2847943299999999E-2</c:v>
                </c:pt>
                <c:pt idx="156" formatCode="0.00E+00">
                  <c:v>6.6734552399999994E-2</c:v>
                </c:pt>
                <c:pt idx="157" formatCode="0.00E+00">
                  <c:v>4.35224175E-2</c:v>
                </c:pt>
                <c:pt idx="158">
                  <c:v>0.10155230799999999</c:v>
                </c:pt>
                <c:pt idx="159">
                  <c:v>0.12186259000000001</c:v>
                </c:pt>
                <c:pt idx="160" formatCode="0.00E+00">
                  <c:v>6.6734254399999998E-2</c:v>
                </c:pt>
                <c:pt idx="161" formatCode="0.00E+00">
                  <c:v>6.8185031399999999E-2</c:v>
                </c:pt>
                <c:pt idx="162" formatCode="0.00E+00">
                  <c:v>7.8340470800000006E-2</c:v>
                </c:pt>
                <c:pt idx="163" formatCode="0.00E+00">
                  <c:v>8.2692801999999996E-2</c:v>
                </c:pt>
                <c:pt idx="164" formatCode="0.00E+00">
                  <c:v>9.8650753499999994E-2</c:v>
                </c:pt>
                <c:pt idx="165" formatCode="0.00E+00">
                  <c:v>8.7044835099999995E-2</c:v>
                </c:pt>
                <c:pt idx="166" formatCode="0.00E+00">
                  <c:v>6.8185031399999999E-2</c:v>
                </c:pt>
                <c:pt idx="167" formatCode="0.00E+00">
                  <c:v>6.09311461E-2</c:v>
                </c:pt>
                <c:pt idx="168">
                  <c:v>0.17844200099999999</c:v>
                </c:pt>
                <c:pt idx="169">
                  <c:v>0.18134355499999999</c:v>
                </c:pt>
                <c:pt idx="170" formatCode="0.00E+00">
                  <c:v>5.6579113E-2</c:v>
                </c:pt>
                <c:pt idx="171" formatCode="0.00E+00">
                  <c:v>5.8029890100000002E-2</c:v>
                </c:pt>
                <c:pt idx="172" formatCode="0.00E+00">
                  <c:v>6.0931444199999997E-2</c:v>
                </c:pt>
                <c:pt idx="173" formatCode="0.00E+00">
                  <c:v>6.6734254399999998E-2</c:v>
                </c:pt>
                <c:pt idx="174" formatCode="0.00E+00">
                  <c:v>4.7874450700000001E-2</c:v>
                </c:pt>
                <c:pt idx="175" formatCode="0.00E+00">
                  <c:v>5.0776302799999999E-2</c:v>
                </c:pt>
                <c:pt idx="176" formatCode="0.00E+00">
                  <c:v>7.8340470800000006E-2</c:v>
                </c:pt>
                <c:pt idx="177" formatCode="0.00E+00">
                  <c:v>6.3832700300000003E-2</c:v>
                </c:pt>
              </c:numCache>
            </c:numRef>
          </c:yVal>
          <c:smooth val="1"/>
          <c:extLst>
            <c:ext xmlns:c16="http://schemas.microsoft.com/office/drawing/2014/chart" uri="{C3380CC4-5D6E-409C-BE32-E72D297353CC}">
              <c16:uniqueId val="{00000001-EA16-3240-A1AA-A5D4DB1CAF82}"/>
            </c:ext>
          </c:extLst>
        </c:ser>
        <c:dLbls>
          <c:showLegendKey val="0"/>
          <c:showVal val="0"/>
          <c:showCatName val="0"/>
          <c:showSerName val="0"/>
          <c:showPercent val="0"/>
          <c:showBubbleSize val="0"/>
        </c:dLbls>
        <c:axId val="336895808"/>
        <c:axId val="336785344"/>
      </c:scatterChart>
      <c:valAx>
        <c:axId val="336895808"/>
        <c:scaling>
          <c:orientation val="minMax"/>
          <c:max val="9"/>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785344"/>
        <c:crosses val="autoZero"/>
        <c:crossBetween val="midCat"/>
      </c:valAx>
      <c:valAx>
        <c:axId val="336785344"/>
        <c:scaling>
          <c:orientation val="minMax"/>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-dV(r)/dr</a:t>
                </a:r>
              </a:p>
            </c:rich>
          </c:tx>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895808"/>
        <c:crosses val="autoZero"/>
        <c:crossBetween val="midCat"/>
      </c:valAx>
      <c:spPr>
        <a:noFill/>
        <a:ln>
          <a:noFill/>
        </a:ln>
        <a:effectLst/>
      </c:spPr>
    </c:plotArea>
    <c:legend>
      <c:legendPos val="r"/>
      <c:layout>
        <c:manualLayout>
          <c:xMode val="edge"/>
          <c:yMode val="edge"/>
          <c:x val="0.14511919293683431"/>
          <c:y val="0.13128156898387403"/>
          <c:w val="0.16414238754811339"/>
          <c:h val="0.14439832546892115"/>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530765183"/>
          <c:y val="4.023550259274900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'g(r)'!$O$5:$O$105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0.224298766145416</c:v>
                </c:pt>
                <c:pt idx="12">
                  <c:v>0.57968620476322896</c:v>
                </c:pt>
                <c:pt idx="13">
                  <c:v>2.9221550644057301</c:v>
                </c:pt>
                <c:pt idx="14">
                  <c:v>24.927659837838199</c:v>
                </c:pt>
                <c:pt idx="15">
                  <c:v>2.1941381978867298</c:v>
                </c:pt>
                <c:pt idx="16">
                  <c:v>0.202599308685393</c:v>
                </c:pt>
                <c:pt idx="17">
                  <c:v>9.9396890752677606E-3</c:v>
                </c:pt>
                <c:pt idx="18">
                  <c:v>2.3402704683399E-3</c:v>
                </c:pt>
                <c:pt idx="19">
                  <c:v>4.25078888822034E-4</c:v>
                </c:pt>
                <c:pt idx="20">
                  <c:v>8.0153922635000895E-3</c:v>
                </c:pt>
                <c:pt idx="21">
                  <c:v>3.0514675135312402E-2</c:v>
                </c:pt>
                <c:pt idx="22">
                  <c:v>0.18662299764342899</c:v>
                </c:pt>
                <c:pt idx="23">
                  <c:v>0.80418868151307099</c:v>
                </c:pt>
                <c:pt idx="24">
                  <c:v>7.4775928435702097</c:v>
                </c:pt>
                <c:pt idx="25">
                  <c:v>8.3272784285321393</c:v>
                </c:pt>
                <c:pt idx="26">
                  <c:v>1.27913124078656</c:v>
                </c:pt>
                <c:pt idx="27">
                  <c:v>0.85244185276321904</c:v>
                </c:pt>
                <c:pt idx="28">
                  <c:v>3.04779070135034</c:v>
                </c:pt>
                <c:pt idx="29">
                  <c:v>2.49383400140721</c:v>
                </c:pt>
                <c:pt idx="30">
                  <c:v>1.0496404755612501</c:v>
                </c:pt>
                <c:pt idx="31">
                  <c:v>1.13237387469201</c:v>
                </c:pt>
                <c:pt idx="32">
                  <c:v>1.33410551489586</c:v>
                </c:pt>
                <c:pt idx="33">
                  <c:v>1.5235634631115</c:v>
                </c:pt>
                <c:pt idx="34">
                  <c:v>1.60102387393752</c:v>
                </c:pt>
                <c:pt idx="35">
                  <c:v>1.65245129785148</c:v>
                </c:pt>
                <c:pt idx="36">
                  <c:v>1.8777090797595</c:v>
                </c:pt>
                <c:pt idx="37">
                  <c:v>3.7553190638862199</c:v>
                </c:pt>
                <c:pt idx="38">
                  <c:v>4.9644018633614397</c:v>
                </c:pt>
                <c:pt idx="39">
                  <c:v>2.1398866446065998</c:v>
                </c:pt>
                <c:pt idx="40">
                  <c:v>1.64257375639059</c:v>
                </c:pt>
                <c:pt idx="41">
                  <c:v>1.7074609818016699</c:v>
                </c:pt>
                <c:pt idx="42">
                  <c:v>2.6911662174050801</c:v>
                </c:pt>
                <c:pt idx="43">
                  <c:v>3.8096321902947099</c:v>
                </c:pt>
                <c:pt idx="44">
                  <c:v>2.0879498685073798</c:v>
                </c:pt>
                <c:pt idx="45">
                  <c:v>1.6202341459002401</c:v>
                </c:pt>
                <c:pt idx="46">
                  <c:v>1.5392803105600401</c:v>
                </c:pt>
                <c:pt idx="47">
                  <c:v>1.56053208145041</c:v>
                </c:pt>
                <c:pt idx="48">
                  <c:v>1.7176971401300001</c:v>
                </c:pt>
                <c:pt idx="49">
                  <c:v>2.7609257320943201</c:v>
                </c:pt>
                <c:pt idx="50">
                  <c:v>2.9109855220093501</c:v>
                </c:pt>
                <c:pt idx="51">
                  <c:v>2.6505567176135201</c:v>
                </c:pt>
                <c:pt idx="52">
                  <c:v>2.4599617439184001</c:v>
                </c:pt>
                <c:pt idx="53">
                  <c:v>1.6030286123276001</c:v>
                </c:pt>
                <c:pt idx="54">
                  <c:v>1.3755909408201501</c:v>
                </c:pt>
                <c:pt idx="55">
                  <c:v>1.36929389117406</c:v>
                </c:pt>
                <c:pt idx="56">
                  <c:v>1.4327297518821001</c:v>
                </c:pt>
                <c:pt idx="57">
                  <c:v>1.8272877369173499</c:v>
                </c:pt>
                <c:pt idx="58">
                  <c:v>1.6027408956954901</c:v>
                </c:pt>
                <c:pt idx="59">
                  <c:v>1.38600929218834</c:v>
                </c:pt>
                <c:pt idx="60">
                  <c:v>1.39048789712377</c:v>
                </c:pt>
                <c:pt idx="61">
                  <c:v>1.57373085428819</c:v>
                </c:pt>
                <c:pt idx="62">
                  <c:v>2.1322840057874499</c:v>
                </c:pt>
                <c:pt idx="63">
                  <c:v>2.0566663596285601</c:v>
                </c:pt>
                <c:pt idx="64">
                  <c:v>1.7931938654531601</c:v>
                </c:pt>
                <c:pt idx="65">
                  <c:v>2.4928136204934401</c:v>
                </c:pt>
                <c:pt idx="66">
                  <c:v>2.6549026002412499</c:v>
                </c:pt>
                <c:pt idx="67">
                  <c:v>1.8430692597843701</c:v>
                </c:pt>
                <c:pt idx="68">
                  <c:v>1.6004375493415399</c:v>
                </c:pt>
                <c:pt idx="69">
                  <c:v>1.5646069446520401</c:v>
                </c:pt>
                <c:pt idx="70">
                  <c:v>1.5778526646920299</c:v>
                </c:pt>
                <c:pt idx="71">
                  <c:v>1.7057416949530799</c:v>
                </c:pt>
                <c:pt idx="72">
                  <c:v>1.7268160333328899</c:v>
                </c:pt>
                <c:pt idx="73">
                  <c:v>1.6754122978616901</c:v>
                </c:pt>
                <c:pt idx="74">
                  <c:v>1.9080256643070499</c:v>
                </c:pt>
                <c:pt idx="75">
                  <c:v>2.0638452510706702</c:v>
                </c:pt>
                <c:pt idx="76">
                  <c:v>1.9339201203221199</c:v>
                </c:pt>
                <c:pt idx="77">
                  <c:v>1.61002220543136</c:v>
                </c:pt>
                <c:pt idx="78">
                  <c:v>1.5228628999102301</c:v>
                </c:pt>
                <c:pt idx="79">
                  <c:v>1.63610273447454</c:v>
                </c:pt>
                <c:pt idx="80">
                  <c:v>1.7464291652938</c:v>
                </c:pt>
                <c:pt idx="81">
                  <c:v>1.5474369601815301</c:v>
                </c:pt>
                <c:pt idx="82">
                  <c:v>1.439667112787</c:v>
                </c:pt>
                <c:pt idx="83">
                  <c:v>1.4179829366994801</c:v>
                </c:pt>
                <c:pt idx="84">
                  <c:v>1.4378915285976399</c:v>
                </c:pt>
                <c:pt idx="85">
                  <c:v>1.5450386914695999</c:v>
                </c:pt>
                <c:pt idx="86">
                  <c:v>1.71934229856697</c:v>
                </c:pt>
                <c:pt idx="87">
                  <c:v>1.75914557546454</c:v>
                </c:pt>
                <c:pt idx="88">
                  <c:v>1.67242784100052</c:v>
                </c:pt>
                <c:pt idx="89">
                  <c:v>1.7522692011235801</c:v>
                </c:pt>
                <c:pt idx="90">
                  <c:v>1.7355489304424201</c:v>
                </c:pt>
                <c:pt idx="91">
                  <c:v>1.4863192311887501</c:v>
                </c:pt>
                <c:pt idx="92">
                  <c:v>1.41045413293998</c:v>
                </c:pt>
                <c:pt idx="93">
                  <c:v>1.4560462452508001</c:v>
                </c:pt>
                <c:pt idx="94">
                  <c:v>1.53385381529924</c:v>
                </c:pt>
                <c:pt idx="95">
                  <c:v>1.4677392128778199</c:v>
                </c:pt>
                <c:pt idx="96">
                  <c:v>1.3997703947308</c:v>
                </c:pt>
                <c:pt idx="97">
                  <c:v>1.40616335996599</c:v>
                </c:pt>
                <c:pt idx="98">
                  <c:v>1.4504280330741299</c:v>
                </c:pt>
                <c:pt idx="99">
                  <c:v>1.55902134949029</c:v>
                </c:pt>
                <c:pt idx="100">
                  <c:v>1.6402473083192</c:v>
                </c:pt>
              </c:numCache>
            </c:numRef>
          </c:yVal>
          <c:smooth val="1"/>
          <c:extLst>
            <c:ext xmlns:c16="http://schemas.microsoft.com/office/drawing/2014/chart" uri="{C3380CC4-5D6E-409C-BE32-E72D297353CC}">
              <c16:uniqueId val="{00000000-10FA-BE4D-8409-32C01A453D7D}"/>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'g(r)'!$K$5:$K$105</c:f>
              <c:numCache>
                <c:formatCode>General</c:formatCode>
                <c:ptCount val="101"/>
                <c:pt idx="0">
                  <c:v>0</c:v>
                </c:pt>
                <c:pt idx="1">
                  <c:v>0</c:v>
                </c:pt>
                <c:pt idx="2">
                  <c:v>0</c:v>
                </c:pt>
                <c:pt idx="3">
                  <c:v>0</c:v>
                </c:pt>
                <c:pt idx="4">
                  <c:v>0</c:v>
                </c:pt>
                <c:pt idx="5">
                  <c:v>0</c:v>
                </c:pt>
                <c:pt idx="6">
                  <c:v>0</c:v>
                </c:pt>
                <c:pt idx="7">
                  <c:v>0</c:v>
                </c:pt>
                <c:pt idx="8">
                  <c:v>0</c:v>
                </c:pt>
                <c:pt idx="9">
                  <c:v>0</c:v>
                </c:pt>
                <c:pt idx="10">
                  <c:v>4.63330318454448E-4</c:v>
                </c:pt>
                <c:pt idx="11">
                  <c:v>0.25238654307280201</c:v>
                </c:pt>
                <c:pt idx="12">
                  <c:v>0.41358935704059302</c:v>
                </c:pt>
                <c:pt idx="13">
                  <c:v>6.2563137110256797</c:v>
                </c:pt>
                <c:pt idx="14">
                  <c:v>48.277317379311903</c:v>
                </c:pt>
                <c:pt idx="15">
                  <c:v>3.26932078112914</c:v>
                </c:pt>
                <c:pt idx="16">
                  <c:v>0.377930070077937</c:v>
                </c:pt>
                <c:pt idx="17">
                  <c:v>2.2417557173787302E-2</c:v>
                </c:pt>
                <c:pt idx="18">
                  <c:v>7.1553678371460098E-3</c:v>
                </c:pt>
                <c:pt idx="19">
                  <c:v>1.40807131233926E-3</c:v>
                </c:pt>
                <c:pt idx="20">
                  <c:v>2.4256638190771501E-3</c:v>
                </c:pt>
                <c:pt idx="21">
                  <c:v>2.36989186016166E-2</c:v>
                </c:pt>
                <c:pt idx="22">
                  <c:v>0.17188708453469201</c:v>
                </c:pt>
                <c:pt idx="23">
                  <c:v>1.15346887422601</c:v>
                </c:pt>
                <c:pt idx="24">
                  <c:v>15.1507036847701</c:v>
                </c:pt>
                <c:pt idx="25">
                  <c:v>16.127446210519601</c:v>
                </c:pt>
                <c:pt idx="26">
                  <c:v>1.5509450751272</c:v>
                </c:pt>
                <c:pt idx="27">
                  <c:v>1.19737597886805</c:v>
                </c:pt>
                <c:pt idx="28">
                  <c:v>6.0286820438877902</c:v>
                </c:pt>
                <c:pt idx="29">
                  <c:v>4.75178725029141</c:v>
                </c:pt>
                <c:pt idx="30">
                  <c:v>1.7775477112304101</c:v>
                </c:pt>
                <c:pt idx="31">
                  <c:v>2.1683416698412001</c:v>
                </c:pt>
                <c:pt idx="32">
                  <c:v>2.78547415403734</c:v>
                </c:pt>
                <c:pt idx="33">
                  <c:v>3.1786762327823102</c:v>
                </c:pt>
                <c:pt idx="34">
                  <c:v>3.33770597211271</c:v>
                </c:pt>
                <c:pt idx="35">
                  <c:v>3.3977032747286202</c:v>
                </c:pt>
                <c:pt idx="36">
                  <c:v>3.6975592895765201</c:v>
                </c:pt>
                <c:pt idx="37">
                  <c:v>7.4202376970257697</c:v>
                </c:pt>
                <c:pt idx="38">
                  <c:v>9.7617475443141704</c:v>
                </c:pt>
                <c:pt idx="39">
                  <c:v>3.9941434926499699</c:v>
                </c:pt>
                <c:pt idx="40">
                  <c:v>3.1345095117580102</c:v>
                </c:pt>
                <c:pt idx="41">
                  <c:v>3.2260314845216</c:v>
                </c:pt>
                <c:pt idx="42">
                  <c:v>5.3198921376093598</c:v>
                </c:pt>
                <c:pt idx="43">
                  <c:v>7.4481730372698802</c:v>
                </c:pt>
                <c:pt idx="44">
                  <c:v>3.95634924964076</c:v>
                </c:pt>
                <c:pt idx="45">
                  <c:v>2.9372021537711701</c:v>
                </c:pt>
                <c:pt idx="46">
                  <c:v>2.78136343234757</c:v>
                </c:pt>
                <c:pt idx="47">
                  <c:v>2.7178119187379202</c:v>
                </c:pt>
                <c:pt idx="48">
                  <c:v>3.03850526425434</c:v>
                </c:pt>
                <c:pt idx="49">
                  <c:v>5.1786741289471703</c:v>
                </c:pt>
                <c:pt idx="50">
                  <c:v>5.3688365974818399</c:v>
                </c:pt>
                <c:pt idx="51">
                  <c:v>4.9464440310112199</c:v>
                </c:pt>
                <c:pt idx="52">
                  <c:v>4.6302000559129199</c:v>
                </c:pt>
                <c:pt idx="53">
                  <c:v>2.8652931881882799</c:v>
                </c:pt>
                <c:pt idx="54">
                  <c:v>2.4074470848642302</c:v>
                </c:pt>
                <c:pt idx="55">
                  <c:v>2.3201177402758502</c:v>
                </c:pt>
                <c:pt idx="56">
                  <c:v>2.5054742878711602</c:v>
                </c:pt>
                <c:pt idx="57">
                  <c:v>3.2020804812186898</c:v>
                </c:pt>
                <c:pt idx="58">
                  <c:v>2.7974079423168798</c:v>
                </c:pt>
                <c:pt idx="59">
                  <c:v>2.30442175801543</c:v>
                </c:pt>
                <c:pt idx="60">
                  <c:v>2.31518012759155</c:v>
                </c:pt>
                <c:pt idx="61">
                  <c:v>2.67650413831073</c:v>
                </c:pt>
                <c:pt idx="62">
                  <c:v>3.9011482973393199</c:v>
                </c:pt>
                <c:pt idx="63">
                  <c:v>3.8176808162853302</c:v>
                </c:pt>
                <c:pt idx="64">
                  <c:v>3.2986229517401902</c:v>
                </c:pt>
                <c:pt idx="65">
                  <c:v>4.7084598884629596</c:v>
                </c:pt>
                <c:pt idx="66">
                  <c:v>5.1481771106534504</c:v>
                </c:pt>
                <c:pt idx="67">
                  <c:v>3.4797450918851598</c:v>
                </c:pt>
                <c:pt idx="68">
                  <c:v>2.9180803604342</c:v>
                </c:pt>
                <c:pt idx="69">
                  <c:v>2.7831779179770102</c:v>
                </c:pt>
                <c:pt idx="70">
                  <c:v>2.79473117318696</c:v>
                </c:pt>
                <c:pt idx="71">
                  <c:v>3.02998485536247</c:v>
                </c:pt>
                <c:pt idx="72">
                  <c:v>3.0764010559731099</c:v>
                </c:pt>
                <c:pt idx="73">
                  <c:v>2.9381433549138398</c:v>
                </c:pt>
                <c:pt idx="74">
                  <c:v>3.41067664043528</c:v>
                </c:pt>
                <c:pt idx="75">
                  <c:v>3.6971363706409401</c:v>
                </c:pt>
                <c:pt idx="76">
                  <c:v>3.4456536600077601</c:v>
                </c:pt>
                <c:pt idx="77">
                  <c:v>2.8255622631196702</c:v>
                </c:pt>
                <c:pt idx="78">
                  <c:v>2.57052375699155</c:v>
                </c:pt>
                <c:pt idx="79">
                  <c:v>2.80927337500031</c:v>
                </c:pt>
                <c:pt idx="80">
                  <c:v>3.0258633043461902</c:v>
                </c:pt>
                <c:pt idx="81">
                  <c:v>2.6111068264111101</c:v>
                </c:pt>
                <c:pt idx="82">
                  <c:v>2.3716984613923802</c:v>
                </c:pt>
                <c:pt idx="83">
                  <c:v>2.3175505128562102</c:v>
                </c:pt>
                <c:pt idx="84">
                  <c:v>2.3225069278400801</c:v>
                </c:pt>
                <c:pt idx="85">
                  <c:v>2.5170282563157098</c:v>
                </c:pt>
                <c:pt idx="86">
                  <c:v>2.8882656575461398</c:v>
                </c:pt>
                <c:pt idx="87">
                  <c:v>2.9619607815242102</c:v>
                </c:pt>
                <c:pt idx="88">
                  <c:v>2.7642978991796898</c:v>
                </c:pt>
                <c:pt idx="89">
                  <c:v>2.9315148870897199</c:v>
                </c:pt>
                <c:pt idx="90">
                  <c:v>2.9159518224261398</c:v>
                </c:pt>
                <c:pt idx="91">
                  <c:v>2.4382789124760702</c:v>
                </c:pt>
                <c:pt idx="92">
                  <c:v>2.2600976492354699</c:v>
                </c:pt>
                <c:pt idx="93">
                  <c:v>2.3806015703786501</c:v>
                </c:pt>
                <c:pt idx="94">
                  <c:v>2.5505405280928501</c:v>
                </c:pt>
                <c:pt idx="95">
                  <c:v>2.44569463449022</c:v>
                </c:pt>
                <c:pt idx="96">
                  <c:v>2.3253863340407599</c:v>
                </c:pt>
                <c:pt idx="97">
                  <c:v>2.3127196398489098</c:v>
                </c:pt>
                <c:pt idx="98">
                  <c:v>2.37962269822606</c:v>
                </c:pt>
                <c:pt idx="99">
                  <c:v>2.6042234467452898</c:v>
                </c:pt>
                <c:pt idx="100">
                  <c:v>2.7860717524398702</c:v>
                </c:pt>
              </c:numCache>
            </c:numRef>
          </c:yVal>
          <c:smooth val="1"/>
          <c:extLst>
            <c:ext xmlns:c16="http://schemas.microsoft.com/office/drawing/2014/chart" uri="{C3380CC4-5D6E-409C-BE32-E72D297353CC}">
              <c16:uniqueId val="{00000001-10FA-BE4D-8409-32C01A453D7D}"/>
            </c:ext>
          </c:extLst>
        </c:ser>
        <c:ser>
          <c:idx val="2"/>
          <c:order val="2"/>
          <c:tx>
            <c:strRef>
              <c:f>'g(r)'!$F$3:$H$3</c:f>
              <c:strCache>
                <c:ptCount val="1"/>
                <c:pt idx="0">
                  <c:v>C500</c:v>
                </c:pt>
              </c:strCache>
            </c:strRef>
          </c:tx>
          <c:spPr>
            <a:ln w="19050" cap="rnd">
              <a:solidFill>
                <a:srgbClr val="00B0F0"/>
              </a:solidFill>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'g(r)'!$G$5:$G$105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0.39804341809548899</c:v>
                </c:pt>
                <c:pt idx="12">
                  <c:v>0.68839247926842095</c:v>
                </c:pt>
                <c:pt idx="13">
                  <c:v>7.5823321530394399</c:v>
                </c:pt>
                <c:pt idx="14">
                  <c:v>41.878410554343603</c:v>
                </c:pt>
                <c:pt idx="15">
                  <c:v>4.7088714695717897</c:v>
                </c:pt>
                <c:pt idx="16">
                  <c:v>0.58488090914489799</c:v>
                </c:pt>
                <c:pt idx="17">
                  <c:v>5.6734805384097198E-2</c:v>
                </c:pt>
                <c:pt idx="18">
                  <c:v>7.9303833956823507E-3</c:v>
                </c:pt>
                <c:pt idx="19">
                  <c:v>2.9406333192627701E-3</c:v>
                </c:pt>
                <c:pt idx="20">
                  <c:v>3.7438732635740801E-3</c:v>
                </c:pt>
                <c:pt idx="21">
                  <c:v>3.1337731303738098E-2</c:v>
                </c:pt>
                <c:pt idx="22">
                  <c:v>0.19361766374997799</c:v>
                </c:pt>
                <c:pt idx="23">
                  <c:v>1.4097761614098601</c:v>
                </c:pt>
                <c:pt idx="24">
                  <c:v>13.500429947113201</c:v>
                </c:pt>
                <c:pt idx="25">
                  <c:v>14.1361093189836</c:v>
                </c:pt>
                <c:pt idx="26">
                  <c:v>1.93134978078528</c:v>
                </c:pt>
                <c:pt idx="27">
                  <c:v>1.3453264471352899</c:v>
                </c:pt>
                <c:pt idx="28">
                  <c:v>5.1711089936874997</c:v>
                </c:pt>
                <c:pt idx="29">
                  <c:v>4.2356137613955802</c:v>
                </c:pt>
                <c:pt idx="30">
                  <c:v>1.7676851133339799</c:v>
                </c:pt>
                <c:pt idx="31">
                  <c:v>1.9900682006863799</c:v>
                </c:pt>
                <c:pt idx="32">
                  <c:v>2.4314607156999699</c:v>
                </c:pt>
                <c:pt idx="33">
                  <c:v>2.7658996920497598</c:v>
                </c:pt>
                <c:pt idx="34">
                  <c:v>2.9184236795412599</c:v>
                </c:pt>
                <c:pt idx="35">
                  <c:v>3.0281184837888699</c:v>
                </c:pt>
                <c:pt idx="36">
                  <c:v>3.44843157901192</c:v>
                </c:pt>
                <c:pt idx="37">
                  <c:v>6.5929444943002302</c:v>
                </c:pt>
                <c:pt idx="38">
                  <c:v>8.1386306798225903</c:v>
                </c:pt>
                <c:pt idx="39">
                  <c:v>3.7759712119180202</c:v>
                </c:pt>
                <c:pt idx="40">
                  <c:v>2.9094359554941498</c:v>
                </c:pt>
                <c:pt idx="41">
                  <c:v>3.0340085213644001</c:v>
                </c:pt>
                <c:pt idx="42">
                  <c:v>4.8196401696553801</c:v>
                </c:pt>
                <c:pt idx="43">
                  <c:v>6.2357677133185696</c:v>
                </c:pt>
                <c:pt idx="44">
                  <c:v>3.6728142874207599</c:v>
                </c:pt>
                <c:pt idx="45">
                  <c:v>2.7949202922599601</c:v>
                </c:pt>
                <c:pt idx="46">
                  <c:v>2.6418868230067898</c:v>
                </c:pt>
                <c:pt idx="47">
                  <c:v>2.6182651574589202</c:v>
                </c:pt>
                <c:pt idx="48">
                  <c:v>2.9807648304838201</c:v>
                </c:pt>
                <c:pt idx="49">
                  <c:v>4.60859472325523</c:v>
                </c:pt>
                <c:pt idx="50">
                  <c:v>4.7621959271156298</c:v>
                </c:pt>
                <c:pt idx="51">
                  <c:v>4.4192616055173302</c:v>
                </c:pt>
                <c:pt idx="52">
                  <c:v>4.0709546576977402</c:v>
                </c:pt>
                <c:pt idx="53">
                  <c:v>2.74091131051145</c:v>
                </c:pt>
                <c:pt idx="54">
                  <c:v>2.3544460783372601</c:v>
                </c:pt>
                <c:pt idx="55">
                  <c:v>2.2787994422646198</c:v>
                </c:pt>
                <c:pt idx="56">
                  <c:v>2.43950149663935</c:v>
                </c:pt>
                <c:pt idx="57">
                  <c:v>2.9379895760320198</c:v>
                </c:pt>
                <c:pt idx="58">
                  <c:v>2.6156714715835601</c:v>
                </c:pt>
                <c:pt idx="59">
                  <c:v>2.27051190176915</c:v>
                </c:pt>
                <c:pt idx="60">
                  <c:v>2.2915586078983798</c:v>
                </c:pt>
                <c:pt idx="61">
                  <c:v>2.60407316195609</c:v>
                </c:pt>
                <c:pt idx="62">
                  <c:v>3.44207984080162</c:v>
                </c:pt>
                <c:pt idx="63">
                  <c:v>3.3567938099707901</c:v>
                </c:pt>
                <c:pt idx="64">
                  <c:v>3.0549228062191198</c:v>
                </c:pt>
                <c:pt idx="65">
                  <c:v>4.0464786201323601</c:v>
                </c:pt>
                <c:pt idx="66">
                  <c:v>4.2545903568440897</c:v>
                </c:pt>
                <c:pt idx="67">
                  <c:v>3.1014939478524202</c:v>
                </c:pt>
                <c:pt idx="68">
                  <c:v>2.6617495202503099</c:v>
                </c:pt>
                <c:pt idx="69">
                  <c:v>2.5726666864430801</c:v>
                </c:pt>
                <c:pt idx="70">
                  <c:v>2.60136677768919</c:v>
                </c:pt>
                <c:pt idx="71">
                  <c:v>2.7597559431170202</c:v>
                </c:pt>
                <c:pt idx="72">
                  <c:v>2.8036353946039601</c:v>
                </c:pt>
                <c:pt idx="73">
                  <c:v>2.77291161380451</c:v>
                </c:pt>
                <c:pt idx="74">
                  <c:v>3.1127094439215202</c:v>
                </c:pt>
                <c:pt idx="75">
                  <c:v>3.2802411634542898</c:v>
                </c:pt>
                <c:pt idx="76">
                  <c:v>3.0719443751536799</c:v>
                </c:pt>
                <c:pt idx="77">
                  <c:v>2.6401263178775101</c:v>
                </c:pt>
                <c:pt idx="78">
                  <c:v>2.4788280018331301</c:v>
                </c:pt>
                <c:pt idx="79">
                  <c:v>2.6527719423120701</c:v>
                </c:pt>
                <c:pt idx="80">
                  <c:v>2.7645861423084699</c:v>
                </c:pt>
                <c:pt idx="81">
                  <c:v>2.4823120254887501</c:v>
                </c:pt>
                <c:pt idx="82">
                  <c:v>2.3034977901835698</c:v>
                </c:pt>
                <c:pt idx="83">
                  <c:v>2.26618654950695</c:v>
                </c:pt>
                <c:pt idx="84">
                  <c:v>2.28725420552365</c:v>
                </c:pt>
                <c:pt idx="85">
                  <c:v>2.4459908499493399</c:v>
                </c:pt>
                <c:pt idx="86">
                  <c:v>2.6967383778433498</c:v>
                </c:pt>
                <c:pt idx="87">
                  <c:v>2.71773192061874</c:v>
                </c:pt>
                <c:pt idx="88">
                  <c:v>2.6082029949707399</c:v>
                </c:pt>
                <c:pt idx="89">
                  <c:v>2.7003569546454198</c:v>
                </c:pt>
                <c:pt idx="90">
                  <c:v>2.6441053008535</c:v>
                </c:pt>
                <c:pt idx="91">
                  <c:v>2.33171969370559</c:v>
                </c:pt>
                <c:pt idx="92">
                  <c:v>2.2230009740853198</c:v>
                </c:pt>
                <c:pt idx="93">
                  <c:v>2.28741559785357</c:v>
                </c:pt>
                <c:pt idx="94">
                  <c:v>2.3533005156521201</c:v>
                </c:pt>
                <c:pt idx="95">
                  <c:v>2.2838058133632999</c:v>
                </c:pt>
                <c:pt idx="96">
                  <c:v>2.2223871890846199</c:v>
                </c:pt>
                <c:pt idx="97">
                  <c:v>2.21048866509881</c:v>
                </c:pt>
                <c:pt idx="98">
                  <c:v>2.28240355120503</c:v>
                </c:pt>
                <c:pt idx="99">
                  <c:v>2.4390209840163202</c:v>
                </c:pt>
                <c:pt idx="100">
                  <c:v>2.5202748566762199</c:v>
                </c:pt>
              </c:numCache>
            </c:numRef>
          </c:yVal>
          <c:smooth val="1"/>
          <c:extLst>
            <c:ext xmlns:c16="http://schemas.microsoft.com/office/drawing/2014/chart" uri="{C3380CC4-5D6E-409C-BE32-E72D297353CC}">
              <c16:uniqueId val="{00000002-10FA-BE4D-8409-32C01A453D7D}"/>
            </c:ext>
          </c:extLst>
        </c:ser>
        <c:dLbls>
          <c:showLegendKey val="0"/>
          <c:showVal val="0"/>
          <c:showCatName val="0"/>
          <c:showSerName val="0"/>
          <c:showPercent val="0"/>
          <c:showBubbleSize val="0"/>
        </c:dLbls>
        <c:axId val="443966768"/>
        <c:axId val="444076464"/>
      </c:scatterChart>
      <c:valAx>
        <c:axId val="443966768"/>
        <c:scaling>
          <c:orientation val="minMax"/>
          <c:max val="1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valAx>
      <c:spPr>
        <a:noFill/>
        <a:ln>
          <a:noFill/>
        </a:ln>
        <a:effectLst/>
      </c:spPr>
    </c:plotArea>
    <c:legend>
      <c:legendPos val="r"/>
      <c:layout>
        <c:manualLayout>
          <c:xMode val="edge"/>
          <c:yMode val="edge"/>
          <c:x val="0.72114869421519567"/>
          <c:y val="6.6959756878077648E-2"/>
          <c:w val="0.14303019773070594"/>
          <c:h val="0.27212820564457479"/>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776907693"/>
          <c:y val="4.023544484171857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'g(r)'!$P$5:$P$105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1.17879444373645E-2</c:v>
                </c:pt>
                <c:pt idx="12">
                  <c:v>4.7788963935261802E-2</c:v>
                </c:pt>
                <c:pt idx="13">
                  <c:v>0.25939849624060102</c:v>
                </c:pt>
                <c:pt idx="14">
                  <c:v>2.3420415445393101</c:v>
                </c:pt>
                <c:pt idx="15">
                  <c:v>2.5514846438129202</c:v>
                </c:pt>
                <c:pt idx="16">
                  <c:v>2.5734038486045598</c:v>
                </c:pt>
                <c:pt idx="17">
                  <c:v>2.5746145023575799</c:v>
                </c:pt>
                <c:pt idx="18">
                  <c:v>2.5749330954504899</c:v>
                </c:pt>
                <c:pt idx="19">
                  <c:v>2.57499681406907</c:v>
                </c:pt>
                <c:pt idx="20">
                  <c:v>2.5763349050592499</c:v>
                </c:pt>
                <c:pt idx="21">
                  <c:v>2.5819421434943202</c:v>
                </c:pt>
                <c:pt idx="22">
                  <c:v>2.6194724098381501</c:v>
                </c:pt>
                <c:pt idx="23">
                  <c:v>2.7959092646871402</c:v>
                </c:pt>
                <c:pt idx="24">
                  <c:v>4.5788836498024699</c:v>
                </c:pt>
                <c:pt idx="25">
                  <c:v>6.7300879316936397</c:v>
                </c:pt>
                <c:pt idx="26">
                  <c:v>7.0869121957435901</c:v>
                </c:pt>
                <c:pt idx="27">
                  <c:v>7.3429973238180102</c:v>
                </c:pt>
                <c:pt idx="28">
                  <c:v>8.3263667643685402</c:v>
                </c:pt>
                <c:pt idx="29">
                  <c:v>9.1885433923792501</c:v>
                </c:pt>
                <c:pt idx="30">
                  <c:v>9.5763986236778393</c:v>
                </c:pt>
                <c:pt idx="31">
                  <c:v>10.0227475468331</c:v>
                </c:pt>
                <c:pt idx="32">
                  <c:v>10.582451892442901</c:v>
                </c:pt>
                <c:pt idx="33">
                  <c:v>11.261692366509401</c:v>
                </c:pt>
                <c:pt idx="34">
                  <c:v>12.018669555243999</c:v>
                </c:pt>
                <c:pt idx="35">
                  <c:v>12.845928380272699</c:v>
                </c:pt>
                <c:pt idx="36">
                  <c:v>13.8396839556518</c:v>
                </c:pt>
                <c:pt idx="37">
                  <c:v>15.937428316554</c:v>
                </c:pt>
                <c:pt idx="38">
                  <c:v>18.860456225309001</c:v>
                </c:pt>
                <c:pt idx="39">
                  <c:v>20.186695552440401</c:v>
                </c:pt>
                <c:pt idx="40">
                  <c:v>21.256977188734499</c:v>
                </c:pt>
                <c:pt idx="41">
                  <c:v>22.425066904549499</c:v>
                </c:pt>
                <c:pt idx="42">
                  <c:v>24.3559959220084</c:v>
                </c:pt>
                <c:pt idx="43">
                  <c:v>27.219446922390699</c:v>
                </c:pt>
                <c:pt idx="44">
                  <c:v>28.861921753536301</c:v>
                </c:pt>
                <c:pt idx="45">
                  <c:v>30.194341786670002</c:v>
                </c:pt>
                <c:pt idx="46">
                  <c:v>31.516375684975099</c:v>
                </c:pt>
                <c:pt idx="47">
                  <c:v>32.914935644195197</c:v>
                </c:pt>
                <c:pt idx="48">
                  <c:v>34.519816490378403</c:v>
                </c:pt>
                <c:pt idx="49">
                  <c:v>37.207021791767502</c:v>
                </c:pt>
                <c:pt idx="50">
                  <c:v>40.1559831782846</c:v>
                </c:pt>
                <c:pt idx="51">
                  <c:v>42.948515356187002</c:v>
                </c:pt>
                <c:pt idx="52">
                  <c:v>45.641773926341202</c:v>
                </c:pt>
                <c:pt idx="53">
                  <c:v>47.464317573594997</c:v>
                </c:pt>
                <c:pt idx="54">
                  <c:v>49.087358226073597</c:v>
                </c:pt>
                <c:pt idx="55">
                  <c:v>50.762775583025302</c:v>
                </c:pt>
                <c:pt idx="56">
                  <c:v>52.579584554606797</c:v>
                </c:pt>
                <c:pt idx="57">
                  <c:v>54.979355167579897</c:v>
                </c:pt>
                <c:pt idx="58">
                  <c:v>57.158085892697798</c:v>
                </c:pt>
                <c:pt idx="59">
                  <c:v>59.1071747164521</c:v>
                </c:pt>
                <c:pt idx="60">
                  <c:v>61.128711609532303</c:v>
                </c:pt>
                <c:pt idx="61">
                  <c:v>63.492990951956102</c:v>
                </c:pt>
                <c:pt idx="62">
                  <c:v>66.801389065885004</c:v>
                </c:pt>
                <c:pt idx="63">
                  <c:v>70.095386772014706</c:v>
                </c:pt>
                <c:pt idx="64">
                  <c:v>73.058748566331005</c:v>
                </c:pt>
                <c:pt idx="65">
                  <c:v>77.3070600229387</c:v>
                </c:pt>
                <c:pt idx="66">
                  <c:v>81.970689435452996</c:v>
                </c:pt>
                <c:pt idx="67">
                  <c:v>85.306359118134296</c:v>
                </c:pt>
                <c:pt idx="68">
                  <c:v>88.289346246973295</c:v>
                </c:pt>
                <c:pt idx="69">
                  <c:v>91.291321524149296</c:v>
                </c:pt>
                <c:pt idx="70">
                  <c:v>94.406461067923999</c:v>
                </c:pt>
                <c:pt idx="71">
                  <c:v>97.870268892570394</c:v>
                </c:pt>
                <c:pt idx="72">
                  <c:v>101.475468331846</c:v>
                </c:pt>
                <c:pt idx="73">
                  <c:v>105.07066394800501</c:v>
                </c:pt>
                <c:pt idx="74">
                  <c:v>109.27723970944299</c:v>
                </c:pt>
                <c:pt idx="75">
                  <c:v>113.95017204027</c:v>
                </c:pt>
                <c:pt idx="76">
                  <c:v>118.445839174206</c:v>
                </c:pt>
                <c:pt idx="77">
                  <c:v>122.28698865808499</c:v>
                </c:pt>
                <c:pt idx="78">
                  <c:v>126.014464126417</c:v>
                </c:pt>
                <c:pt idx="79">
                  <c:v>130.12208487319899</c:v>
                </c:pt>
                <c:pt idx="80">
                  <c:v>134.617369695425</c:v>
                </c:pt>
                <c:pt idx="81">
                  <c:v>138.70026761819801</c:v>
                </c:pt>
                <c:pt idx="82">
                  <c:v>142.592519434178</c:v>
                </c:pt>
                <c:pt idx="83">
                  <c:v>146.51949789728499</c:v>
                </c:pt>
                <c:pt idx="84">
                  <c:v>150.597680642283</c:v>
                </c:pt>
                <c:pt idx="85">
                  <c:v>155.08423601376299</c:v>
                </c:pt>
                <c:pt idx="86">
                  <c:v>160.19408691219499</c:v>
                </c:pt>
                <c:pt idx="87">
                  <c:v>165.54396584681999</c:v>
                </c:pt>
                <c:pt idx="88">
                  <c:v>170.74729195871001</c:v>
                </c:pt>
                <c:pt idx="89">
                  <c:v>176.32267108449</c:v>
                </c:pt>
                <c:pt idx="90">
                  <c:v>181.96884159551399</c:v>
                </c:pt>
                <c:pt idx="91">
                  <c:v>186.911685994647</c:v>
                </c:pt>
                <c:pt idx="92">
                  <c:v>191.70555626353999</c:v>
                </c:pt>
                <c:pt idx="93">
                  <c:v>196.76175608512801</c:v>
                </c:pt>
                <c:pt idx="94">
                  <c:v>202.20249776984801</c:v>
                </c:pt>
                <c:pt idx="95">
                  <c:v>207.51968905314101</c:v>
                </c:pt>
                <c:pt idx="96">
                  <c:v>212.69727284312401</c:v>
                </c:pt>
                <c:pt idx="97">
                  <c:v>218.00700904804299</c:v>
                </c:pt>
                <c:pt idx="98">
                  <c:v>223.596724863004</c:v>
                </c:pt>
                <c:pt idx="99">
                  <c:v>229.72773034280601</c:v>
                </c:pt>
                <c:pt idx="100">
                  <c:v>236.308270676691</c:v>
                </c:pt>
              </c:numCache>
            </c:numRef>
          </c:yVal>
          <c:smooth val="1"/>
          <c:extLst>
            <c:ext xmlns:c16="http://schemas.microsoft.com/office/drawing/2014/chart" uri="{C3380CC4-5D6E-409C-BE32-E72D297353CC}">
              <c16:uniqueId val="{00000000-B21D-7947-977F-6598B63DE2EC}"/>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'g(r)'!$L$5:$L$105</c:f>
              <c:numCache>
                <c:formatCode>General</c:formatCode>
                <c:ptCount val="101"/>
                <c:pt idx="0">
                  <c:v>0</c:v>
                </c:pt>
                <c:pt idx="1">
                  <c:v>0</c:v>
                </c:pt>
                <c:pt idx="2">
                  <c:v>0</c:v>
                </c:pt>
                <c:pt idx="3">
                  <c:v>0</c:v>
                </c:pt>
                <c:pt idx="4">
                  <c:v>0</c:v>
                </c:pt>
                <c:pt idx="5">
                  <c:v>0</c:v>
                </c:pt>
                <c:pt idx="6">
                  <c:v>0</c:v>
                </c:pt>
                <c:pt idx="7">
                  <c:v>0</c:v>
                </c:pt>
                <c:pt idx="8">
                  <c:v>0</c:v>
                </c:pt>
                <c:pt idx="9">
                  <c:v>0</c:v>
                </c:pt>
                <c:pt idx="10" formatCode="0.00E+00">
                  <c:v>1.25674321280118E-5</c:v>
                </c:pt>
                <c:pt idx="11">
                  <c:v>6.8178319294464303E-3</c:v>
                </c:pt>
                <c:pt idx="12">
                  <c:v>2.01078914048189E-2</c:v>
                </c:pt>
                <c:pt idx="13">
                  <c:v>0.25227863253770999</c:v>
                </c:pt>
                <c:pt idx="14">
                  <c:v>2.3206454633140901</c:v>
                </c:pt>
                <c:pt idx="15">
                  <c:v>2.4805346185627202</c:v>
                </c:pt>
                <c:pt idx="16">
                  <c:v>2.5014342581915998</c:v>
                </c:pt>
                <c:pt idx="17">
                  <c:v>2.5028103920096201</c:v>
                </c:pt>
                <c:pt idx="18">
                  <c:v>2.50328795443049</c:v>
                </c:pt>
                <c:pt idx="19">
                  <c:v>2.5033947776035799</c:v>
                </c:pt>
                <c:pt idx="20">
                  <c:v>2.5036084239497498</c:v>
                </c:pt>
                <c:pt idx="21">
                  <c:v>2.5058705617327899</c:v>
                </c:pt>
                <c:pt idx="22">
                  <c:v>2.5236786130581801</c:v>
                </c:pt>
                <c:pt idx="23">
                  <c:v>2.6534373497799102</c:v>
                </c:pt>
                <c:pt idx="24">
                  <c:v>4.5065994727962204</c:v>
                </c:pt>
                <c:pt idx="25">
                  <c:v>6.64196328424703</c:v>
                </c:pt>
                <c:pt idx="26">
                  <c:v>6.8638161636028299</c:v>
                </c:pt>
                <c:pt idx="27">
                  <c:v>7.0486139693291801</c:v>
                </c:pt>
                <c:pt idx="28">
                  <c:v>8.0465749034664107</c:v>
                </c:pt>
                <c:pt idx="29">
                  <c:v>8.8895605483170606</c:v>
                </c:pt>
                <c:pt idx="30">
                  <c:v>9.2285795974023106</c:v>
                </c:pt>
                <c:pt idx="31">
                  <c:v>9.6713490824203596</c:v>
                </c:pt>
                <c:pt idx="32">
                  <c:v>10.2768102600515</c:v>
                </c:pt>
                <c:pt idx="33">
                  <c:v>11.0100570875604</c:v>
                </c:pt>
                <c:pt idx="34">
                  <c:v>11.826569436633401</c:v>
                </c:pt>
                <c:pt idx="35">
                  <c:v>12.706050904383799</c:v>
                </c:pt>
                <c:pt idx="36">
                  <c:v>13.717377302589201</c:v>
                </c:pt>
                <c:pt idx="37">
                  <c:v>15.851163901307901</c:v>
                </c:pt>
                <c:pt idx="38">
                  <c:v>18.805892868924801</c:v>
                </c:pt>
                <c:pt idx="39">
                  <c:v>20.086294272706901</c:v>
                </c:pt>
                <c:pt idx="40">
                  <c:v>21.143472947031398</c:v>
                </c:pt>
                <c:pt idx="41">
                  <c:v>22.285035644379299</c:v>
                </c:pt>
                <c:pt idx="42">
                  <c:v>24.252511130032001</c:v>
                </c:pt>
                <c:pt idx="43">
                  <c:v>27.134694595689901</c:v>
                </c:pt>
                <c:pt idx="44">
                  <c:v>28.741220863193998</c:v>
                </c:pt>
                <c:pt idx="45">
                  <c:v>29.991900289993499</c:v>
                </c:pt>
                <c:pt idx="46">
                  <c:v>31.228491625377401</c:v>
                </c:pt>
                <c:pt idx="47">
                  <c:v>32.490883898920103</c:v>
                </c:pt>
                <c:pt idx="48">
                  <c:v>33.960167523870197</c:v>
                </c:pt>
                <c:pt idx="49">
                  <c:v>36.556215694837597</c:v>
                </c:pt>
                <c:pt idx="50">
                  <c:v>39.358357185272197</c:v>
                </c:pt>
                <c:pt idx="51">
                  <c:v>42.044099119337098</c:v>
                </c:pt>
                <c:pt idx="52">
                  <c:v>44.656572924095798</c:v>
                </c:pt>
                <c:pt idx="53">
                  <c:v>46.343555892083401</c:v>
                </c:pt>
                <c:pt idx="54">
                  <c:v>47.8145863900994</c:v>
                </c:pt>
                <c:pt idx="55">
                  <c:v>49.286785659303199</c:v>
                </c:pt>
                <c:pt idx="56">
                  <c:v>50.933703653666697</c:v>
                </c:pt>
                <c:pt idx="57">
                  <c:v>53.107624346886197</c:v>
                </c:pt>
                <c:pt idx="58">
                  <c:v>55.075847594750499</c:v>
                </c:pt>
                <c:pt idx="59">
                  <c:v>56.755472331227203</c:v>
                </c:pt>
                <c:pt idx="60">
                  <c:v>58.5014656767719</c:v>
                </c:pt>
                <c:pt idx="61">
                  <c:v>60.586000508980902</c:v>
                </c:pt>
                <c:pt idx="62">
                  <c:v>63.713142077961997</c:v>
                </c:pt>
                <c:pt idx="63">
                  <c:v>66.876094544791897</c:v>
                </c:pt>
                <c:pt idx="64">
                  <c:v>69.702063886541197</c:v>
                </c:pt>
                <c:pt idx="65">
                  <c:v>73.849190814463796</c:v>
                </c:pt>
                <c:pt idx="66">
                  <c:v>78.516647134782502</c:v>
                </c:pt>
                <c:pt idx="67">
                  <c:v>81.783821316249899</c:v>
                </c:pt>
                <c:pt idx="68">
                  <c:v>84.609193704973194</c:v>
                </c:pt>
                <c:pt idx="69">
                  <c:v>87.3844094720736</c:v>
                </c:pt>
                <c:pt idx="70">
                  <c:v>90.253855845269698</c:v>
                </c:pt>
                <c:pt idx="71">
                  <c:v>93.451054564648402</c:v>
                </c:pt>
                <c:pt idx="72">
                  <c:v>96.785382819691804</c:v>
                </c:pt>
                <c:pt idx="73">
                  <c:v>100.06297540239299</c:v>
                </c:pt>
                <c:pt idx="74">
                  <c:v>103.962247433887</c:v>
                </c:pt>
                <c:pt idx="75">
                  <c:v>108.300317641847</c:v>
                </c:pt>
                <c:pt idx="76">
                  <c:v>112.455682521529</c:v>
                </c:pt>
                <c:pt idx="77">
                  <c:v>115.959796784622</c:v>
                </c:pt>
                <c:pt idx="78">
                  <c:v>119.236798698014</c:v>
                </c:pt>
                <c:pt idx="79">
                  <c:v>122.903648639732</c:v>
                </c:pt>
                <c:pt idx="80">
                  <c:v>126.947257629216</c:v>
                </c:pt>
                <c:pt idx="81">
                  <c:v>130.534266674626</c:v>
                </c:pt>
                <c:pt idx="82">
                  <c:v>133.87810847578999</c:v>
                </c:pt>
                <c:pt idx="83">
                  <c:v>137.22396734981101</c:v>
                </c:pt>
                <c:pt idx="84">
                  <c:v>140.65977761928801</c:v>
                </c:pt>
                <c:pt idx="85">
                  <c:v>144.46742050313699</c:v>
                </c:pt>
                <c:pt idx="86">
                  <c:v>148.92687953802101</c:v>
                </c:pt>
                <c:pt idx="87">
                  <c:v>153.60564654725499</c:v>
                </c:pt>
                <c:pt idx="88">
                  <c:v>158.077729567711</c:v>
                </c:pt>
                <c:pt idx="89">
                  <c:v>162.921664053688</c:v>
                </c:pt>
                <c:pt idx="90">
                  <c:v>167.849605539724</c:v>
                </c:pt>
                <c:pt idx="91">
                  <c:v>172.076680187129</c:v>
                </c:pt>
                <c:pt idx="92">
                  <c:v>176.086476500472</c:v>
                </c:pt>
                <c:pt idx="93">
                  <c:v>180.401026759204</c:v>
                </c:pt>
                <c:pt idx="94">
                  <c:v>185.12070076001501</c:v>
                </c:pt>
                <c:pt idx="95">
                  <c:v>189.74312168730299</c:v>
                </c:pt>
                <c:pt idx="96">
                  <c:v>194.238303648011</c:v>
                </c:pt>
                <c:pt idx="97">
                  <c:v>198.80466126057601</c:v>
                </c:pt>
                <c:pt idx="98">
                  <c:v>203.59561773641599</c:v>
                </c:pt>
                <c:pt idx="99">
                  <c:v>208.938133673491</c:v>
                </c:pt>
                <c:pt idx="100">
                  <c:v>214.76174347985901</c:v>
                </c:pt>
              </c:numCache>
            </c:numRef>
          </c:yVal>
          <c:smooth val="1"/>
          <c:extLst>
            <c:ext xmlns:c16="http://schemas.microsoft.com/office/drawing/2014/chart" uri="{C3380CC4-5D6E-409C-BE32-E72D297353CC}">
              <c16:uniqueId val="{00000001-B21D-7947-977F-6598B63DE2EC}"/>
            </c:ext>
          </c:extLst>
        </c:ser>
        <c:ser>
          <c:idx val="2"/>
          <c:order val="2"/>
          <c:tx>
            <c:strRef>
              <c:f>'g(r)'!$F$3:$H$3</c:f>
              <c:strCache>
                <c:ptCount val="1"/>
                <c:pt idx="0">
                  <c:v>C500</c:v>
                </c:pt>
              </c:strCache>
            </c:strRef>
          </c:tx>
          <c:spPr>
            <a:ln w="19050" cap="rnd">
              <a:solidFill>
                <a:srgbClr val="00B0F0"/>
              </a:solidFill>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'g(r)'!$H$5:$H$105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1.0679294973241301E-2</c:v>
                </c:pt>
                <c:pt idx="12">
                  <c:v>3.23036592290128E-2</c:v>
                </c:pt>
                <c:pt idx="13">
                  <c:v>0.311632458291554</c:v>
                </c:pt>
                <c:pt idx="14">
                  <c:v>2.0894451357261001</c:v>
                </c:pt>
                <c:pt idx="15">
                  <c:v>2.3179627191127898</c:v>
                </c:pt>
                <c:pt idx="16">
                  <c:v>2.35009724923589</c:v>
                </c:pt>
                <c:pt idx="17">
                  <c:v>2.3535885572079098</c:v>
                </c:pt>
                <c:pt idx="18">
                  <c:v>2.35414426712734</c:v>
                </c:pt>
                <c:pt idx="19">
                  <c:v>2.35437379948536</c:v>
                </c:pt>
                <c:pt idx="20">
                  <c:v>2.35469997704676</c:v>
                </c:pt>
                <c:pt idx="21">
                  <c:v>2.35761141379851</c:v>
                </c:pt>
                <c:pt idx="22">
                  <c:v>2.3773149546371499</c:v>
                </c:pt>
                <c:pt idx="23">
                  <c:v>2.5343875714268398</c:v>
                </c:pt>
                <c:pt idx="24">
                  <c:v>4.1706995904659498</c:v>
                </c:pt>
                <c:pt idx="25">
                  <c:v>6.0263841405221203</c:v>
                </c:pt>
                <c:pt idx="26">
                  <c:v>6.3000108725853696</c:v>
                </c:pt>
                <c:pt idx="27">
                  <c:v>6.5057926718774501</c:v>
                </c:pt>
                <c:pt idx="28">
                  <c:v>7.3537576863138296</c:v>
                </c:pt>
                <c:pt idx="29">
                  <c:v>8.0979982362250293</c:v>
                </c:pt>
                <c:pt idx="30">
                  <c:v>8.4302040421856201</c:v>
                </c:pt>
                <c:pt idx="31">
                  <c:v>8.8300735711610692</c:v>
                </c:pt>
                <c:pt idx="32">
                  <c:v>9.3492516037063407</c:v>
                </c:pt>
                <c:pt idx="33">
                  <c:v>9.9767326672868002</c:v>
                </c:pt>
                <c:pt idx="34">
                  <c:v>10.6786546987689</c:v>
                </c:pt>
                <c:pt idx="35">
                  <c:v>11.449943824975501</c:v>
                </c:pt>
                <c:pt idx="36">
                  <c:v>12.3785955035819</c:v>
                </c:pt>
                <c:pt idx="37">
                  <c:v>14.2513258513838</c:v>
                </c:pt>
                <c:pt idx="38">
                  <c:v>16.6886937192698</c:v>
                </c:pt>
                <c:pt idx="39">
                  <c:v>17.879121011875199</c:v>
                </c:pt>
                <c:pt idx="40">
                  <c:v>18.843640141585201</c:v>
                </c:pt>
                <c:pt idx="41">
                  <c:v>19.900141343609899</c:v>
                </c:pt>
                <c:pt idx="42">
                  <c:v>21.6584679319134</c:v>
                </c:pt>
                <c:pt idx="43">
                  <c:v>24.042668857291201</c:v>
                </c:pt>
                <c:pt idx="44">
                  <c:v>25.512908174976101</c:v>
                </c:pt>
                <c:pt idx="45">
                  <c:v>26.683559442840298</c:v>
                </c:pt>
                <c:pt idx="46">
                  <c:v>27.838771639465001</c:v>
                </c:pt>
                <c:pt idx="47">
                  <c:v>29.034550660207501</c:v>
                </c:pt>
                <c:pt idx="48">
                  <c:v>30.452819019776001</c:v>
                </c:pt>
                <c:pt idx="49">
                  <c:v>32.734491465020398</c:v>
                </c:pt>
                <c:pt idx="50">
                  <c:v>35.1881078077243</c:v>
                </c:pt>
                <c:pt idx="51">
                  <c:v>37.557256242676097</c:v>
                </c:pt>
                <c:pt idx="52">
                  <c:v>39.825579569204002</c:v>
                </c:pt>
                <c:pt idx="53">
                  <c:v>41.412348840861497</c:v>
                </c:pt>
                <c:pt idx="54">
                  <c:v>42.827162134409299</c:v>
                </c:pt>
                <c:pt idx="55">
                  <c:v>44.247472123899101</c:v>
                </c:pt>
                <c:pt idx="56">
                  <c:v>45.823090955216998</c:v>
                </c:pt>
                <c:pt idx="57">
                  <c:v>47.788661101513703</c:v>
                </c:pt>
                <c:pt idx="58">
                  <c:v>49.599164018990699</c:v>
                </c:pt>
                <c:pt idx="59">
                  <c:v>51.225026275414599</c:v>
                </c:pt>
                <c:pt idx="60">
                  <c:v>52.922985853558302</c:v>
                </c:pt>
                <c:pt idx="61">
                  <c:v>54.915991156963798</c:v>
                </c:pt>
                <c:pt idx="62">
                  <c:v>57.635635502615401</c:v>
                </c:pt>
                <c:pt idx="63">
                  <c:v>60.374596808292097</c:v>
                </c:pt>
                <c:pt idx="64">
                  <c:v>62.945129685782199</c:v>
                </c:pt>
                <c:pt idx="65">
                  <c:v>66.456419053601806</c:v>
                </c:pt>
                <c:pt idx="66">
                  <c:v>70.262246759365496</c:v>
                </c:pt>
                <c:pt idx="67">
                  <c:v>73.120866907474294</c:v>
                </c:pt>
                <c:pt idx="68">
                  <c:v>75.650494702634703</c:v>
                </c:pt>
                <c:pt idx="69">
                  <c:v>78.165806927044898</c:v>
                </c:pt>
                <c:pt idx="70">
                  <c:v>80.783140244270697</c:v>
                </c:pt>
                <c:pt idx="71">
                  <c:v>83.640262391727106</c:v>
                </c:pt>
                <c:pt idx="72">
                  <c:v>86.624521304227002</c:v>
                </c:pt>
                <c:pt idx="73">
                  <c:v>89.655508172559905</c:v>
                </c:pt>
                <c:pt idx="74">
                  <c:v>93.150790678570104</c:v>
                </c:pt>
                <c:pt idx="75">
                  <c:v>96.935525568696605</c:v>
                </c:pt>
                <c:pt idx="76">
                  <c:v>100.57470070188501</c:v>
                </c:pt>
                <c:pt idx="77">
                  <c:v>103.784746970776</c:v>
                </c:pt>
                <c:pt idx="78">
                  <c:v>106.878227043744</c:v>
                </c:pt>
                <c:pt idx="79">
                  <c:v>110.272285779866</c:v>
                </c:pt>
                <c:pt idx="80">
                  <c:v>113.900745376131</c:v>
                </c:pt>
                <c:pt idx="81">
                  <c:v>117.240658637061</c:v>
                </c:pt>
                <c:pt idx="82">
                  <c:v>120.416299213549</c:v>
                </c:pt>
                <c:pt idx="83">
                  <c:v>123.61705546226599</c:v>
                </c:pt>
                <c:pt idx="84">
                  <c:v>126.926453000229</c:v>
                </c:pt>
                <c:pt idx="85">
                  <c:v>130.54872730347799</c:v>
                </c:pt>
                <c:pt idx="86">
                  <c:v>134.636456986844</c:v>
                </c:pt>
                <c:pt idx="87">
                  <c:v>138.850212015414</c:v>
                </c:pt>
                <c:pt idx="88">
                  <c:v>142.98642134892501</c:v>
                </c:pt>
                <c:pt idx="89">
                  <c:v>147.36751754714399</c:v>
                </c:pt>
                <c:pt idx="90">
                  <c:v>151.755209780494</c:v>
                </c:pt>
                <c:pt idx="91">
                  <c:v>155.71004022856499</c:v>
                </c:pt>
                <c:pt idx="92">
                  <c:v>159.56512074610001</c:v>
                </c:pt>
                <c:pt idx="93">
                  <c:v>163.617997752999</c:v>
                </c:pt>
                <c:pt idx="94">
                  <c:v>167.87935054423301</c:v>
                </c:pt>
                <c:pt idx="95">
                  <c:v>172.10211773801799</c:v>
                </c:pt>
                <c:pt idx="96">
                  <c:v>176.297171919736</c:v>
                </c:pt>
                <c:pt idx="97">
                  <c:v>180.558899211133</c:v>
                </c:pt>
                <c:pt idx="98">
                  <c:v>185.04694540753999</c:v>
                </c:pt>
                <c:pt idx="99">
                  <c:v>189.939790038295</c:v>
                </c:pt>
                <c:pt idx="100">
                  <c:v>195.09751501020801</c:v>
                </c:pt>
              </c:numCache>
            </c:numRef>
          </c:yVal>
          <c:smooth val="1"/>
          <c:extLst>
            <c:ext xmlns:c16="http://schemas.microsoft.com/office/drawing/2014/chart" uri="{C3380CC4-5D6E-409C-BE32-E72D297353CC}">
              <c16:uniqueId val="{00000002-B21D-7947-977F-6598B63DE2EC}"/>
            </c:ext>
          </c:extLst>
        </c:ser>
        <c:dLbls>
          <c:showLegendKey val="0"/>
          <c:showVal val="0"/>
          <c:showCatName val="0"/>
          <c:showSerName val="0"/>
          <c:showPercent val="0"/>
          <c:showBubbleSize val="0"/>
        </c:dLbls>
        <c:axId val="443966768"/>
        <c:axId val="444076464"/>
      </c:scatterChart>
      <c:valAx>
        <c:axId val="443966768"/>
        <c:scaling>
          <c:orientation val="minMax"/>
          <c:max val="4"/>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14"/>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Integral</a:t>
                </a:r>
                <a:r>
                  <a:rPr lang="en-US" b="1" baseline="0"/>
                  <a:t> </a:t>
                </a: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majorUnit val="1"/>
      </c:valAx>
      <c:spPr>
        <a:noFill/>
        <a:ln>
          <a:noFill/>
        </a:ln>
        <a:effectLst/>
      </c:spPr>
    </c:plotArea>
    <c:legend>
      <c:legendPos val="r"/>
      <c:layout>
        <c:manualLayout>
          <c:xMode val="edge"/>
          <c:yMode val="edge"/>
          <c:x val="0.28480198331632139"/>
          <c:y val="9.8887989980043556E-2"/>
          <c:w val="0.17723386273899697"/>
          <c:h val="0.27212820564457479"/>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C700</c:v>
          </c:tx>
          <c:spPr>
            <a:ln w="19050" cap="rnd">
              <a:solidFill>
                <a:srgbClr val="FFC000"/>
              </a:solidFill>
              <a:round/>
            </a:ln>
            <a:effectLst/>
          </c:spPr>
          <c:marker>
            <c:symbol val="none"/>
          </c:marker>
          <c:xVal>
            <c:numRef>
              <c:f>Coordiantion!$K$5:$K$203</c:f>
              <c:numCache>
                <c:formatCode>General</c:formatCode>
                <c:ptCount val="199"/>
                <c:pt idx="0">
                  <c:v>0.1125</c:v>
                </c:pt>
                <c:pt idx="1">
                  <c:v>0.1875</c:v>
                </c:pt>
                <c:pt idx="2">
                  <c:v>0.26250000000000001</c:v>
                </c:pt>
                <c:pt idx="3">
                  <c:v>0.33750000000000002</c:v>
                </c:pt>
                <c:pt idx="4">
                  <c:v>0.41249999999999998</c:v>
                </c:pt>
                <c:pt idx="5">
                  <c:v>0.48749999999999999</c:v>
                </c:pt>
                <c:pt idx="6">
                  <c:v>0.5625</c:v>
                </c:pt>
                <c:pt idx="7">
                  <c:v>0.63749999999999996</c:v>
                </c:pt>
                <c:pt idx="8">
                  <c:v>0.71250000000000002</c:v>
                </c:pt>
                <c:pt idx="9">
                  <c:v>0.78749999999999998</c:v>
                </c:pt>
                <c:pt idx="10">
                  <c:v>0.86250000000000004</c:v>
                </c:pt>
                <c:pt idx="11">
                  <c:v>0.9375</c:v>
                </c:pt>
                <c:pt idx="12">
                  <c:v>1.0125</c:v>
                </c:pt>
                <c:pt idx="13">
                  <c:v>1.0874999999999999</c:v>
                </c:pt>
                <c:pt idx="14">
                  <c:v>1.1625000000000001</c:v>
                </c:pt>
                <c:pt idx="15">
                  <c:v>1.2375</c:v>
                </c:pt>
                <c:pt idx="16">
                  <c:v>1.3125</c:v>
                </c:pt>
                <c:pt idx="17">
                  <c:v>1.3875</c:v>
                </c:pt>
                <c:pt idx="18">
                  <c:v>1.4624999999999999</c:v>
                </c:pt>
                <c:pt idx="19">
                  <c:v>1.5375000000000001</c:v>
                </c:pt>
                <c:pt idx="20">
                  <c:v>1.6125</c:v>
                </c:pt>
                <c:pt idx="21">
                  <c:v>1.6875</c:v>
                </c:pt>
                <c:pt idx="22">
                  <c:v>1.7625</c:v>
                </c:pt>
                <c:pt idx="23">
                  <c:v>1.8374999999999999</c:v>
                </c:pt>
                <c:pt idx="24">
                  <c:v>1.9125000000000001</c:v>
                </c:pt>
                <c:pt idx="25">
                  <c:v>1.9875</c:v>
                </c:pt>
                <c:pt idx="26">
                  <c:v>2.0625</c:v>
                </c:pt>
                <c:pt idx="27">
                  <c:v>2.1375000000000002</c:v>
                </c:pt>
                <c:pt idx="28">
                  <c:v>2.2124999999999999</c:v>
                </c:pt>
                <c:pt idx="29">
                  <c:v>2.2875000000000001</c:v>
                </c:pt>
                <c:pt idx="30">
                  <c:v>2.3624999999999998</c:v>
                </c:pt>
                <c:pt idx="31">
                  <c:v>2.4375</c:v>
                </c:pt>
                <c:pt idx="32">
                  <c:v>2.5125000000000002</c:v>
                </c:pt>
                <c:pt idx="33">
                  <c:v>2.5874999999999999</c:v>
                </c:pt>
                <c:pt idx="34">
                  <c:v>2.6625000000000001</c:v>
                </c:pt>
                <c:pt idx="35">
                  <c:v>2.7374999999999998</c:v>
                </c:pt>
                <c:pt idx="36">
                  <c:v>2.8125</c:v>
                </c:pt>
                <c:pt idx="37">
                  <c:v>2.8875000000000002</c:v>
                </c:pt>
                <c:pt idx="38">
                  <c:v>2.9624999999999999</c:v>
                </c:pt>
                <c:pt idx="39">
                  <c:v>3.0375000000000001</c:v>
                </c:pt>
                <c:pt idx="40">
                  <c:v>3.1124999999999998</c:v>
                </c:pt>
                <c:pt idx="41">
                  <c:v>3.1875</c:v>
                </c:pt>
                <c:pt idx="42">
                  <c:v>3.2625000000000002</c:v>
                </c:pt>
                <c:pt idx="43">
                  <c:v>3.3374999999999999</c:v>
                </c:pt>
                <c:pt idx="44">
                  <c:v>3.4125000000000001</c:v>
                </c:pt>
                <c:pt idx="45">
                  <c:v>3.4874999999999998</c:v>
                </c:pt>
                <c:pt idx="46">
                  <c:v>3.5625</c:v>
                </c:pt>
                <c:pt idx="47">
                  <c:v>3.6375000000000002</c:v>
                </c:pt>
                <c:pt idx="48">
                  <c:v>3.7124999999999999</c:v>
                </c:pt>
                <c:pt idx="49">
                  <c:v>3.7875000000000001</c:v>
                </c:pt>
                <c:pt idx="50">
                  <c:v>3.8624999999999998</c:v>
                </c:pt>
                <c:pt idx="51">
                  <c:v>3.9375</c:v>
                </c:pt>
                <c:pt idx="52">
                  <c:v>4.0125000000000002</c:v>
                </c:pt>
                <c:pt idx="53">
                  <c:v>4.0875000000000004</c:v>
                </c:pt>
                <c:pt idx="54">
                  <c:v>4.1624999999999996</c:v>
                </c:pt>
                <c:pt idx="55">
                  <c:v>4.2374999999999998</c:v>
                </c:pt>
                <c:pt idx="56">
                  <c:v>4.3125</c:v>
                </c:pt>
                <c:pt idx="57">
                  <c:v>4.3875000000000002</c:v>
                </c:pt>
                <c:pt idx="58">
                  <c:v>4.4625000000000004</c:v>
                </c:pt>
                <c:pt idx="59">
                  <c:v>4.5374999999999996</c:v>
                </c:pt>
                <c:pt idx="60">
                  <c:v>4.6124999999999998</c:v>
                </c:pt>
                <c:pt idx="61">
                  <c:v>4.6875</c:v>
                </c:pt>
                <c:pt idx="62">
                  <c:v>4.7625000000000002</c:v>
                </c:pt>
                <c:pt idx="63">
                  <c:v>4.8375000000000004</c:v>
                </c:pt>
                <c:pt idx="64">
                  <c:v>4.9124999999999996</c:v>
                </c:pt>
                <c:pt idx="65">
                  <c:v>4.9874999999999998</c:v>
                </c:pt>
                <c:pt idx="66">
                  <c:v>5.0625</c:v>
                </c:pt>
                <c:pt idx="67">
                  <c:v>5.1375000000000002</c:v>
                </c:pt>
                <c:pt idx="68">
                  <c:v>5.2125000000000004</c:v>
                </c:pt>
                <c:pt idx="69">
                  <c:v>5.2874999999999996</c:v>
                </c:pt>
                <c:pt idx="70">
                  <c:v>5.3624999999999998</c:v>
                </c:pt>
                <c:pt idx="71">
                  <c:v>5.4375</c:v>
                </c:pt>
                <c:pt idx="72">
                  <c:v>5.5125000000000002</c:v>
                </c:pt>
                <c:pt idx="73">
                  <c:v>5.5875000000000004</c:v>
                </c:pt>
                <c:pt idx="74">
                  <c:v>5.6624999999999996</c:v>
                </c:pt>
                <c:pt idx="75">
                  <c:v>5.7374999999999998</c:v>
                </c:pt>
                <c:pt idx="76">
                  <c:v>5.8125</c:v>
                </c:pt>
                <c:pt idx="77">
                  <c:v>5.8875000000000002</c:v>
                </c:pt>
                <c:pt idx="78">
                  <c:v>5.9625000000000004</c:v>
                </c:pt>
                <c:pt idx="79">
                  <c:v>6.0374999999999996</c:v>
                </c:pt>
                <c:pt idx="80">
                  <c:v>6.1124999999999998</c:v>
                </c:pt>
                <c:pt idx="81">
                  <c:v>6.1875</c:v>
                </c:pt>
                <c:pt idx="82">
                  <c:v>6.2625000000000002</c:v>
                </c:pt>
                <c:pt idx="83">
                  <c:v>6.3375000000000004</c:v>
                </c:pt>
                <c:pt idx="84">
                  <c:v>6.4124999999999996</c:v>
                </c:pt>
                <c:pt idx="85">
                  <c:v>6.4874999999999998</c:v>
                </c:pt>
                <c:pt idx="86">
                  <c:v>6.5625</c:v>
                </c:pt>
                <c:pt idx="87">
                  <c:v>6.6375000000000002</c:v>
                </c:pt>
                <c:pt idx="88">
                  <c:v>6.7125000000000004</c:v>
                </c:pt>
                <c:pt idx="89">
                  <c:v>6.7874999999999996</c:v>
                </c:pt>
                <c:pt idx="90">
                  <c:v>6.8624999999999998</c:v>
                </c:pt>
                <c:pt idx="91">
                  <c:v>6.9375</c:v>
                </c:pt>
                <c:pt idx="92">
                  <c:v>7.0125000000000002</c:v>
                </c:pt>
                <c:pt idx="93">
                  <c:v>7.0875000000000004</c:v>
                </c:pt>
                <c:pt idx="94">
                  <c:v>7.1624999999999996</c:v>
                </c:pt>
                <c:pt idx="95">
                  <c:v>7.2374999999999998</c:v>
                </c:pt>
                <c:pt idx="96">
                  <c:v>7.3125</c:v>
                </c:pt>
                <c:pt idx="97">
                  <c:v>7.3875000000000002</c:v>
                </c:pt>
                <c:pt idx="98">
                  <c:v>7.4625000000000004</c:v>
                </c:pt>
                <c:pt idx="99">
                  <c:v>7.5374999999999996</c:v>
                </c:pt>
                <c:pt idx="100">
                  <c:v>7.6124999999999998</c:v>
                </c:pt>
                <c:pt idx="101">
                  <c:v>7.6875</c:v>
                </c:pt>
                <c:pt idx="102">
                  <c:v>7.7625000000000002</c:v>
                </c:pt>
                <c:pt idx="103">
                  <c:v>7.8375000000000004</c:v>
                </c:pt>
                <c:pt idx="104">
                  <c:v>7.9124999999999996</c:v>
                </c:pt>
                <c:pt idx="105">
                  <c:v>7.9874999999999998</c:v>
                </c:pt>
                <c:pt idx="106">
                  <c:v>8.0625</c:v>
                </c:pt>
                <c:pt idx="107">
                  <c:v>8.1374999999999993</c:v>
                </c:pt>
                <c:pt idx="108">
                  <c:v>8.2125000000000004</c:v>
                </c:pt>
                <c:pt idx="109">
                  <c:v>8.2874999999999996</c:v>
                </c:pt>
                <c:pt idx="110">
                  <c:v>8.3625000000000007</c:v>
                </c:pt>
                <c:pt idx="111">
                  <c:v>8.4375</c:v>
                </c:pt>
                <c:pt idx="112">
                  <c:v>8.5124999999999993</c:v>
                </c:pt>
                <c:pt idx="113">
                  <c:v>8.5875000000000004</c:v>
                </c:pt>
                <c:pt idx="114">
                  <c:v>8.6624999999999996</c:v>
                </c:pt>
                <c:pt idx="115">
                  <c:v>8.7375000000000007</c:v>
                </c:pt>
                <c:pt idx="116">
                  <c:v>8.8125</c:v>
                </c:pt>
                <c:pt idx="117">
                  <c:v>8.8874999999999993</c:v>
                </c:pt>
                <c:pt idx="118">
                  <c:v>8.9625000000000004</c:v>
                </c:pt>
                <c:pt idx="119">
                  <c:v>9.0374999999999996</c:v>
                </c:pt>
                <c:pt idx="120">
                  <c:v>9.1125000000000007</c:v>
                </c:pt>
                <c:pt idx="121">
                  <c:v>9.1875</c:v>
                </c:pt>
                <c:pt idx="122">
                  <c:v>9.2624999999999993</c:v>
                </c:pt>
                <c:pt idx="123">
                  <c:v>9.3375000000000004</c:v>
                </c:pt>
                <c:pt idx="124">
                  <c:v>9.4124999999999996</c:v>
                </c:pt>
                <c:pt idx="125">
                  <c:v>9.4875000000000007</c:v>
                </c:pt>
                <c:pt idx="126">
                  <c:v>9.5625</c:v>
                </c:pt>
                <c:pt idx="127">
                  <c:v>9.6374999999999993</c:v>
                </c:pt>
                <c:pt idx="128">
                  <c:v>9.7125000000000004</c:v>
                </c:pt>
                <c:pt idx="129">
                  <c:v>9.7874999999999996</c:v>
                </c:pt>
                <c:pt idx="130">
                  <c:v>9.8625000000000007</c:v>
                </c:pt>
                <c:pt idx="131">
                  <c:v>9.9375</c:v>
                </c:pt>
                <c:pt idx="132">
                  <c:v>10.012499999999999</c:v>
                </c:pt>
                <c:pt idx="133">
                  <c:v>10.0875</c:v>
                </c:pt>
                <c:pt idx="134">
                  <c:v>10.1625</c:v>
                </c:pt>
                <c:pt idx="135">
                  <c:v>10.237500000000001</c:v>
                </c:pt>
                <c:pt idx="136">
                  <c:v>10.3125</c:v>
                </c:pt>
                <c:pt idx="137">
                  <c:v>10.387499999999999</c:v>
                </c:pt>
                <c:pt idx="138">
                  <c:v>10.4625</c:v>
                </c:pt>
                <c:pt idx="139">
                  <c:v>10.5375</c:v>
                </c:pt>
                <c:pt idx="140">
                  <c:v>10.612500000000001</c:v>
                </c:pt>
                <c:pt idx="141">
                  <c:v>10.6875</c:v>
                </c:pt>
                <c:pt idx="142">
                  <c:v>10.762499999999999</c:v>
                </c:pt>
                <c:pt idx="143">
                  <c:v>10.8375</c:v>
                </c:pt>
                <c:pt idx="144">
                  <c:v>10.9125</c:v>
                </c:pt>
                <c:pt idx="145">
                  <c:v>10.987500000000001</c:v>
                </c:pt>
                <c:pt idx="146">
                  <c:v>11.0625</c:v>
                </c:pt>
                <c:pt idx="147">
                  <c:v>11.137499999999999</c:v>
                </c:pt>
                <c:pt idx="148">
                  <c:v>11.2125</c:v>
                </c:pt>
                <c:pt idx="149">
                  <c:v>11.2875</c:v>
                </c:pt>
                <c:pt idx="150">
                  <c:v>11.362500000000001</c:v>
                </c:pt>
                <c:pt idx="151">
                  <c:v>11.4375</c:v>
                </c:pt>
                <c:pt idx="152">
                  <c:v>11.512499999999999</c:v>
                </c:pt>
                <c:pt idx="153">
                  <c:v>11.5875</c:v>
                </c:pt>
                <c:pt idx="154">
                  <c:v>11.6625</c:v>
                </c:pt>
                <c:pt idx="155">
                  <c:v>11.737500000000001</c:v>
                </c:pt>
                <c:pt idx="156">
                  <c:v>11.8125</c:v>
                </c:pt>
                <c:pt idx="157">
                  <c:v>11.887499999999999</c:v>
                </c:pt>
                <c:pt idx="158">
                  <c:v>11.9625</c:v>
                </c:pt>
                <c:pt idx="159">
                  <c:v>12.0375</c:v>
                </c:pt>
                <c:pt idx="160">
                  <c:v>12.112500000000001</c:v>
                </c:pt>
                <c:pt idx="161">
                  <c:v>12.1875</c:v>
                </c:pt>
                <c:pt idx="162">
                  <c:v>12.262499999999999</c:v>
                </c:pt>
                <c:pt idx="163">
                  <c:v>12.3375</c:v>
                </c:pt>
                <c:pt idx="164">
                  <c:v>12.4125</c:v>
                </c:pt>
                <c:pt idx="165">
                  <c:v>12.487500000000001</c:v>
                </c:pt>
                <c:pt idx="166">
                  <c:v>12.5625</c:v>
                </c:pt>
                <c:pt idx="167">
                  <c:v>12.637499999999999</c:v>
                </c:pt>
                <c:pt idx="168">
                  <c:v>12.7125</c:v>
                </c:pt>
                <c:pt idx="169">
                  <c:v>12.7875</c:v>
                </c:pt>
                <c:pt idx="170">
                  <c:v>12.862500000000001</c:v>
                </c:pt>
                <c:pt idx="171">
                  <c:v>12.9375</c:v>
                </c:pt>
                <c:pt idx="172">
                  <c:v>13.012499999999999</c:v>
                </c:pt>
                <c:pt idx="173">
                  <c:v>13.0875</c:v>
                </c:pt>
                <c:pt idx="174">
                  <c:v>13.1625</c:v>
                </c:pt>
                <c:pt idx="175">
                  <c:v>13.237500000000001</c:v>
                </c:pt>
                <c:pt idx="176">
                  <c:v>13.3125</c:v>
                </c:pt>
                <c:pt idx="177">
                  <c:v>13.387499999999999</c:v>
                </c:pt>
                <c:pt idx="178">
                  <c:v>13.4625</c:v>
                </c:pt>
                <c:pt idx="179">
                  <c:v>13.5375</c:v>
                </c:pt>
                <c:pt idx="180">
                  <c:v>13.612500000000001</c:v>
                </c:pt>
                <c:pt idx="181">
                  <c:v>13.6875</c:v>
                </c:pt>
                <c:pt idx="182">
                  <c:v>13.762499999999999</c:v>
                </c:pt>
                <c:pt idx="183">
                  <c:v>13.8375</c:v>
                </c:pt>
                <c:pt idx="184">
                  <c:v>13.9125</c:v>
                </c:pt>
                <c:pt idx="185">
                  <c:v>13.987500000000001</c:v>
                </c:pt>
                <c:pt idx="186">
                  <c:v>14.0625</c:v>
                </c:pt>
                <c:pt idx="187">
                  <c:v>14.137499999999999</c:v>
                </c:pt>
                <c:pt idx="188">
                  <c:v>14.2125</c:v>
                </c:pt>
                <c:pt idx="189">
                  <c:v>14.2875</c:v>
                </c:pt>
                <c:pt idx="190">
                  <c:v>14.362500000000001</c:v>
                </c:pt>
                <c:pt idx="191">
                  <c:v>14.4375</c:v>
                </c:pt>
                <c:pt idx="192">
                  <c:v>14.512499999999999</c:v>
                </c:pt>
                <c:pt idx="193">
                  <c:v>14.5875</c:v>
                </c:pt>
                <c:pt idx="194">
                  <c:v>14.6625</c:v>
                </c:pt>
                <c:pt idx="195">
                  <c:v>14.737500000000001</c:v>
                </c:pt>
                <c:pt idx="196">
                  <c:v>14.8125</c:v>
                </c:pt>
                <c:pt idx="197">
                  <c:v>14.887499999999999</c:v>
                </c:pt>
                <c:pt idx="198">
                  <c:v>14.9625</c:v>
                </c:pt>
              </c:numCache>
            </c:numRef>
          </c:xVal>
          <c:yVal>
            <c:numRef>
              <c:f>Coordiantion!$L$5:$L$203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63</c:v>
                </c:pt>
                <c:pt idx="13">
                  <c:v>0</c:v>
                </c:pt>
                <c:pt idx="14">
                  <c:v>0</c:v>
                </c:pt>
                <c:pt idx="15">
                  <c:v>0</c:v>
                </c:pt>
                <c:pt idx="16">
                  <c:v>0</c:v>
                </c:pt>
                <c:pt idx="17">
                  <c:v>0</c:v>
                </c:pt>
                <c:pt idx="18">
                  <c:v>0</c:v>
                </c:pt>
                <c:pt idx="19">
                  <c:v>0</c:v>
                </c:pt>
                <c:pt idx="20">
                  <c:v>0</c:v>
                </c:pt>
                <c:pt idx="21">
                  <c:v>0</c:v>
                </c:pt>
                <c:pt idx="22">
                  <c:v>0</c:v>
                </c:pt>
                <c:pt idx="23">
                  <c:v>0</c:v>
                </c:pt>
                <c:pt idx="24">
                  <c:v>0</c:v>
                </c:pt>
                <c:pt idx="25">
                  <c:v>145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157</c:v>
                </c:pt>
                <c:pt idx="40">
                  <c:v>0</c:v>
                </c:pt>
                <c:pt idx="41">
                  <c:v>0</c:v>
                </c:pt>
                <c:pt idx="42">
                  <c:v>0</c:v>
                </c:pt>
                <c:pt idx="43">
                  <c:v>0</c:v>
                </c:pt>
                <c:pt idx="44">
                  <c:v>0</c:v>
                </c:pt>
                <c:pt idx="45">
                  <c:v>0</c:v>
                </c:pt>
                <c:pt idx="46">
                  <c:v>0</c:v>
                </c:pt>
                <c:pt idx="47">
                  <c:v>0</c:v>
                </c:pt>
                <c:pt idx="48">
                  <c:v>0</c:v>
                </c:pt>
                <c:pt idx="49">
                  <c:v>0</c:v>
                </c:pt>
                <c:pt idx="50">
                  <c:v>0</c:v>
                </c:pt>
                <c:pt idx="51">
                  <c:v>0</c:v>
                </c:pt>
                <c:pt idx="52">
                  <c:v>231</c:v>
                </c:pt>
                <c:pt idx="53">
                  <c:v>0</c:v>
                </c:pt>
                <c:pt idx="54">
                  <c:v>0</c:v>
                </c:pt>
                <c:pt idx="55">
                  <c:v>0</c:v>
                </c:pt>
                <c:pt idx="56">
                  <c:v>0</c:v>
                </c:pt>
                <c:pt idx="57">
                  <c:v>0</c:v>
                </c:pt>
                <c:pt idx="58">
                  <c:v>0</c:v>
                </c:pt>
                <c:pt idx="59">
                  <c:v>0</c:v>
                </c:pt>
                <c:pt idx="60">
                  <c:v>0</c:v>
                </c:pt>
                <c:pt idx="61">
                  <c:v>0</c:v>
                </c:pt>
                <c:pt idx="62">
                  <c:v>0</c:v>
                </c:pt>
                <c:pt idx="63">
                  <c:v>0</c:v>
                </c:pt>
                <c:pt idx="64">
                  <c:v>0</c:v>
                </c:pt>
                <c:pt idx="65">
                  <c:v>360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671</c:v>
                </c:pt>
                <c:pt idx="80">
                  <c:v>0</c:v>
                </c:pt>
                <c:pt idx="81">
                  <c:v>0</c:v>
                </c:pt>
                <c:pt idx="82">
                  <c:v>0</c:v>
                </c:pt>
                <c:pt idx="83">
                  <c:v>0</c:v>
                </c:pt>
                <c:pt idx="84">
                  <c:v>0</c:v>
                </c:pt>
                <c:pt idx="85">
                  <c:v>0</c:v>
                </c:pt>
                <c:pt idx="86">
                  <c:v>0</c:v>
                </c:pt>
                <c:pt idx="87">
                  <c:v>0</c:v>
                </c:pt>
                <c:pt idx="88">
                  <c:v>0</c:v>
                </c:pt>
                <c:pt idx="89">
                  <c:v>0</c:v>
                </c:pt>
                <c:pt idx="90">
                  <c:v>0</c:v>
                </c:pt>
                <c:pt idx="91">
                  <c:v>0</c:v>
                </c:pt>
                <c:pt idx="92">
                  <c:v>795</c:v>
                </c:pt>
                <c:pt idx="93">
                  <c:v>0</c:v>
                </c:pt>
                <c:pt idx="94">
                  <c:v>0</c:v>
                </c:pt>
                <c:pt idx="95">
                  <c:v>0</c:v>
                </c:pt>
                <c:pt idx="96">
                  <c:v>0</c:v>
                </c:pt>
                <c:pt idx="97">
                  <c:v>0</c:v>
                </c:pt>
                <c:pt idx="98">
                  <c:v>0</c:v>
                </c:pt>
                <c:pt idx="99">
                  <c:v>0</c:v>
                </c:pt>
                <c:pt idx="100">
                  <c:v>0</c:v>
                </c:pt>
                <c:pt idx="101">
                  <c:v>0</c:v>
                </c:pt>
                <c:pt idx="102">
                  <c:v>0</c:v>
                </c:pt>
                <c:pt idx="103">
                  <c:v>0</c:v>
                </c:pt>
                <c:pt idx="104">
                  <c:v>0</c:v>
                </c:pt>
                <c:pt idx="105">
                  <c:v>726</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882</c:v>
                </c:pt>
                <c:pt idx="120">
                  <c:v>0</c:v>
                </c:pt>
                <c:pt idx="121">
                  <c:v>0</c:v>
                </c:pt>
                <c:pt idx="122">
                  <c:v>0</c:v>
                </c:pt>
                <c:pt idx="123">
                  <c:v>0</c:v>
                </c:pt>
                <c:pt idx="124">
                  <c:v>0</c:v>
                </c:pt>
                <c:pt idx="125">
                  <c:v>0</c:v>
                </c:pt>
                <c:pt idx="126">
                  <c:v>0</c:v>
                </c:pt>
                <c:pt idx="127">
                  <c:v>0</c:v>
                </c:pt>
                <c:pt idx="128">
                  <c:v>0</c:v>
                </c:pt>
                <c:pt idx="129">
                  <c:v>0</c:v>
                </c:pt>
                <c:pt idx="130">
                  <c:v>0</c:v>
                </c:pt>
                <c:pt idx="131">
                  <c:v>0</c:v>
                </c:pt>
                <c:pt idx="132">
                  <c:v>742</c:v>
                </c:pt>
                <c:pt idx="133">
                  <c:v>0</c:v>
                </c:pt>
                <c:pt idx="134">
                  <c:v>0</c:v>
                </c:pt>
                <c:pt idx="135">
                  <c:v>0</c:v>
                </c:pt>
                <c:pt idx="136">
                  <c:v>0</c:v>
                </c:pt>
                <c:pt idx="137">
                  <c:v>0</c:v>
                </c:pt>
                <c:pt idx="138">
                  <c:v>0</c:v>
                </c:pt>
                <c:pt idx="139">
                  <c:v>0</c:v>
                </c:pt>
                <c:pt idx="140">
                  <c:v>0</c:v>
                </c:pt>
                <c:pt idx="141">
                  <c:v>0</c:v>
                </c:pt>
                <c:pt idx="142">
                  <c:v>0</c:v>
                </c:pt>
                <c:pt idx="143">
                  <c:v>0</c:v>
                </c:pt>
                <c:pt idx="144">
                  <c:v>0</c:v>
                </c:pt>
                <c:pt idx="145">
                  <c:v>793</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1969</c:v>
                </c:pt>
                <c:pt idx="160">
                  <c:v>0</c:v>
                </c:pt>
                <c:pt idx="161">
                  <c:v>0</c:v>
                </c:pt>
                <c:pt idx="162">
                  <c:v>0</c:v>
                </c:pt>
                <c:pt idx="163">
                  <c:v>0</c:v>
                </c:pt>
                <c:pt idx="164">
                  <c:v>0</c:v>
                </c:pt>
                <c:pt idx="165">
                  <c:v>0</c:v>
                </c:pt>
                <c:pt idx="166">
                  <c:v>0</c:v>
                </c:pt>
                <c:pt idx="167">
                  <c:v>0</c:v>
                </c:pt>
                <c:pt idx="168">
                  <c:v>0</c:v>
                </c:pt>
                <c:pt idx="169">
                  <c:v>0</c:v>
                </c:pt>
                <c:pt idx="170">
                  <c:v>0</c:v>
                </c:pt>
                <c:pt idx="171">
                  <c:v>0</c:v>
                </c:pt>
                <c:pt idx="172">
                  <c:v>214</c:v>
                </c:pt>
                <c:pt idx="173">
                  <c:v>0</c:v>
                </c:pt>
                <c:pt idx="174">
                  <c:v>0</c:v>
                </c:pt>
                <c:pt idx="175">
                  <c:v>0</c:v>
                </c:pt>
                <c:pt idx="176">
                  <c:v>0</c:v>
                </c:pt>
                <c:pt idx="177">
                  <c:v>0</c:v>
                </c:pt>
                <c:pt idx="178">
                  <c:v>0</c:v>
                </c:pt>
                <c:pt idx="179">
                  <c:v>0</c:v>
                </c:pt>
                <c:pt idx="180">
                  <c:v>0</c:v>
                </c:pt>
                <c:pt idx="181">
                  <c:v>0</c:v>
                </c:pt>
                <c:pt idx="182">
                  <c:v>0</c:v>
                </c:pt>
                <c:pt idx="183">
                  <c:v>0</c:v>
                </c:pt>
                <c:pt idx="184">
                  <c:v>0</c:v>
                </c:pt>
                <c:pt idx="185">
                  <c:v>28</c:v>
                </c:pt>
                <c:pt idx="186">
                  <c:v>0</c:v>
                </c:pt>
                <c:pt idx="187">
                  <c:v>0</c:v>
                </c:pt>
                <c:pt idx="188">
                  <c:v>0</c:v>
                </c:pt>
                <c:pt idx="189">
                  <c:v>0</c:v>
                </c:pt>
                <c:pt idx="190">
                  <c:v>0</c:v>
                </c:pt>
                <c:pt idx="191">
                  <c:v>0</c:v>
                </c:pt>
                <c:pt idx="192">
                  <c:v>0</c:v>
                </c:pt>
                <c:pt idx="193">
                  <c:v>0</c:v>
                </c:pt>
                <c:pt idx="194">
                  <c:v>0</c:v>
                </c:pt>
                <c:pt idx="195">
                  <c:v>0</c:v>
                </c:pt>
                <c:pt idx="196">
                  <c:v>0</c:v>
                </c:pt>
                <c:pt idx="197">
                  <c:v>0</c:v>
                </c:pt>
                <c:pt idx="198">
                  <c:v>2</c:v>
                </c:pt>
              </c:numCache>
            </c:numRef>
          </c:yVal>
          <c:smooth val="0"/>
          <c:extLst>
            <c:ext xmlns:c16="http://schemas.microsoft.com/office/drawing/2014/chart" uri="{C3380CC4-5D6E-409C-BE32-E72D297353CC}">
              <c16:uniqueId val="{00000000-311B-FF4F-A1D2-985478AD2A92}"/>
            </c:ext>
          </c:extLst>
        </c:ser>
        <c:ser>
          <c:idx val="1"/>
          <c:order val="1"/>
          <c:tx>
            <c:v>C600</c:v>
          </c:tx>
          <c:spPr>
            <a:ln w="19050" cap="rnd">
              <a:solidFill>
                <a:srgbClr val="92D050"/>
              </a:solidFill>
              <a:round/>
            </a:ln>
            <a:effectLst/>
          </c:spPr>
          <c:marker>
            <c:symbol val="none"/>
          </c:marker>
          <c:xVal>
            <c:numRef>
              <c:f>Coordiantion!$H$5:$H$203</c:f>
              <c:numCache>
                <c:formatCode>0.000</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Coordiantion!$I$5:$I$203</c:f>
              <c:numCache>
                <c:formatCode>0</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100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148</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171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199</c:v>
                </c:pt>
                <c:pt idx="57">
                  <c:v>0</c:v>
                </c:pt>
                <c:pt idx="58">
                  <c:v>0</c:v>
                </c:pt>
                <c:pt idx="59">
                  <c:v>0</c:v>
                </c:pt>
                <c:pt idx="60">
                  <c:v>0</c:v>
                </c:pt>
                <c:pt idx="61">
                  <c:v>0</c:v>
                </c:pt>
                <c:pt idx="62">
                  <c:v>0</c:v>
                </c:pt>
                <c:pt idx="63">
                  <c:v>0</c:v>
                </c:pt>
                <c:pt idx="64">
                  <c:v>0</c:v>
                </c:pt>
                <c:pt idx="65">
                  <c:v>0</c:v>
                </c:pt>
                <c:pt idx="66">
                  <c:v>0</c:v>
                </c:pt>
                <c:pt idx="67">
                  <c:v>0</c:v>
                </c:pt>
                <c:pt idx="68">
                  <c:v>0</c:v>
                </c:pt>
                <c:pt idx="69">
                  <c:v>0</c:v>
                </c:pt>
                <c:pt idx="70">
                  <c:v>439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762</c:v>
                </c:pt>
                <c:pt idx="85">
                  <c:v>0</c:v>
                </c:pt>
                <c:pt idx="86">
                  <c:v>0</c:v>
                </c:pt>
                <c:pt idx="87">
                  <c:v>0</c:v>
                </c:pt>
                <c:pt idx="88">
                  <c:v>0</c:v>
                </c:pt>
                <c:pt idx="89">
                  <c:v>0</c:v>
                </c:pt>
                <c:pt idx="90">
                  <c:v>0</c:v>
                </c:pt>
                <c:pt idx="91">
                  <c:v>0</c:v>
                </c:pt>
                <c:pt idx="92">
                  <c:v>0</c:v>
                </c:pt>
                <c:pt idx="93">
                  <c:v>0</c:v>
                </c:pt>
                <c:pt idx="94">
                  <c:v>0</c:v>
                </c:pt>
                <c:pt idx="95">
                  <c:v>0</c:v>
                </c:pt>
                <c:pt idx="96">
                  <c:v>0</c:v>
                </c:pt>
                <c:pt idx="97">
                  <c:v>0</c:v>
                </c:pt>
                <c:pt idx="98">
                  <c:v>800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704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877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473</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722</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2060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181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11</c:v>
                </c:pt>
              </c:numCache>
            </c:numRef>
          </c:yVal>
          <c:smooth val="0"/>
          <c:extLst>
            <c:ext xmlns:c16="http://schemas.microsoft.com/office/drawing/2014/chart" uri="{C3380CC4-5D6E-409C-BE32-E72D297353CC}">
              <c16:uniqueId val="{00000001-311B-FF4F-A1D2-985478AD2A92}"/>
            </c:ext>
          </c:extLst>
        </c:ser>
        <c:ser>
          <c:idx val="2"/>
          <c:order val="2"/>
          <c:tx>
            <c:v>C500</c:v>
          </c:tx>
          <c:spPr>
            <a:ln w="19050" cap="rnd">
              <a:solidFill>
                <a:srgbClr val="00B0F0"/>
              </a:solidFill>
              <a:round/>
            </a:ln>
            <a:effectLst/>
          </c:spPr>
          <c:marker>
            <c:symbol val="none"/>
          </c:marker>
          <c:xVal>
            <c:numRef>
              <c:f>Coordiantion!$E$5:$E$203</c:f>
              <c:numCache>
                <c:formatCode>General</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Coordiantion!$F$5:$F$203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115</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219</c:v>
                </c:pt>
                <c:pt idx="28">
                  <c:v>0</c:v>
                </c:pt>
                <c:pt idx="29">
                  <c:v>0</c:v>
                </c:pt>
                <c:pt idx="30">
                  <c:v>0</c:v>
                </c:pt>
                <c:pt idx="31">
                  <c:v>0</c:v>
                </c:pt>
                <c:pt idx="32">
                  <c:v>0</c:v>
                </c:pt>
                <c:pt idx="33">
                  <c:v>0</c:v>
                </c:pt>
                <c:pt idx="34">
                  <c:v>0</c:v>
                </c:pt>
                <c:pt idx="35">
                  <c:v>0</c:v>
                </c:pt>
                <c:pt idx="36">
                  <c:v>0</c:v>
                </c:pt>
                <c:pt idx="37">
                  <c:v>0</c:v>
                </c:pt>
                <c:pt idx="38">
                  <c:v>0</c:v>
                </c:pt>
                <c:pt idx="39">
                  <c:v>0</c:v>
                </c:pt>
                <c:pt idx="40">
                  <c:v>0</c:v>
                </c:pt>
                <c:pt idx="41">
                  <c:v>251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374</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671</c:v>
                </c:pt>
                <c:pt idx="85">
                  <c:v>0</c:v>
                </c:pt>
                <c:pt idx="86">
                  <c:v>0</c:v>
                </c:pt>
                <c:pt idx="87">
                  <c:v>0</c:v>
                </c:pt>
                <c:pt idx="88">
                  <c:v>0</c:v>
                </c:pt>
                <c:pt idx="89">
                  <c:v>0</c:v>
                </c:pt>
                <c:pt idx="90">
                  <c:v>0</c:v>
                </c:pt>
                <c:pt idx="91">
                  <c:v>0</c:v>
                </c:pt>
                <c:pt idx="92">
                  <c:v>0</c:v>
                </c:pt>
                <c:pt idx="93">
                  <c:v>0</c:v>
                </c:pt>
                <c:pt idx="94">
                  <c:v>0</c:v>
                </c:pt>
                <c:pt idx="95">
                  <c:v>0</c:v>
                </c:pt>
                <c:pt idx="96">
                  <c:v>0</c:v>
                </c:pt>
                <c:pt idx="97">
                  <c:v>0</c:v>
                </c:pt>
                <c:pt idx="98">
                  <c:v>757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793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717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520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677</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1286</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131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12</c:v>
                </c:pt>
              </c:numCache>
            </c:numRef>
          </c:yVal>
          <c:smooth val="0"/>
          <c:extLst>
            <c:ext xmlns:c16="http://schemas.microsoft.com/office/drawing/2014/chart" uri="{C3380CC4-5D6E-409C-BE32-E72D297353CC}">
              <c16:uniqueId val="{00000002-311B-FF4F-A1D2-985478AD2A92}"/>
            </c:ext>
          </c:extLst>
        </c:ser>
        <c:dLbls>
          <c:showLegendKey val="0"/>
          <c:showVal val="0"/>
          <c:showCatName val="0"/>
          <c:showSerName val="0"/>
          <c:showPercent val="0"/>
          <c:showBubbleSize val="0"/>
        </c:dLbls>
        <c:axId val="702540256"/>
        <c:axId val="96733600"/>
      </c:scatterChart>
      <c:valAx>
        <c:axId val="702540256"/>
        <c:scaling>
          <c:orientation val="minMax"/>
          <c:max val="14.4"/>
          <c:min val="0.5"/>
        </c:scaling>
        <c:delete val="0"/>
        <c:axPos val="b"/>
        <c:title>
          <c:tx>
            <c:rich>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Coordination</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6733600"/>
        <c:crosses val="autoZero"/>
        <c:crossBetween val="midCat"/>
        <c:majorUnit val="1.4"/>
      </c:valAx>
      <c:valAx>
        <c:axId val="96733600"/>
        <c:scaling>
          <c:orientation val="minMax"/>
          <c:max val="2000"/>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Count</a:t>
                </a:r>
              </a:p>
            </c:rich>
          </c:tx>
          <c:layout>
            <c:manualLayout>
              <c:xMode val="edge"/>
              <c:yMode val="edge"/>
              <c:x val="1.8967793582612955E-2"/>
              <c:y val="0.3920255935767298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0254025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11.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image" Target="../media/image19.png"/><Relationship Id="rId1" Type="http://schemas.openxmlformats.org/officeDocument/2006/relationships/chart" Target="../charts/chart5.xml"/></Relationships>
</file>

<file path=xl/drawings/_rels/drawing14.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chart" Target="../charts/chart7.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24.png"/><Relationship Id="rId1" Type="http://schemas.openxmlformats.org/officeDocument/2006/relationships/image" Target="../media/image23.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1" Type="http://schemas.openxmlformats.org/officeDocument/2006/relationships/image" Target="../media/image5.jpeg"/></Relationships>
</file>

<file path=xl/drawings/_rels/drawing5.xml.rels><?xml version="1.0" encoding="UTF-8" standalone="yes"?>
<Relationships xmlns="http://schemas.openxmlformats.org/package/2006/relationships"><Relationship Id="rId1" Type="http://schemas.openxmlformats.org/officeDocument/2006/relationships/image" Target="../media/image6.jpeg"/></Relationships>
</file>

<file path=xl/drawings/_rels/drawing6.xml.rels><?xml version="1.0" encoding="UTF-8" standalone="yes"?>
<Relationships xmlns="http://schemas.openxmlformats.org/package/2006/relationships"><Relationship Id="rId1" Type="http://schemas.openxmlformats.org/officeDocument/2006/relationships/image" Target="../media/image7.jpeg"/></Relationships>
</file>

<file path=xl/drawings/_rels/drawing7.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_rels/drawing9.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9</xdr:col>
      <xdr:colOff>6350</xdr:colOff>
      <xdr:row>0</xdr:row>
      <xdr:rowOff>139700</xdr:rowOff>
    </xdr:from>
    <xdr:to>
      <xdr:col>15</xdr:col>
      <xdr:colOff>508000</xdr:colOff>
      <xdr:row>22</xdr:row>
      <xdr:rowOff>101600</xdr:rowOff>
    </xdr:to>
    <xdr:graphicFrame macro="">
      <xdr:nvGraphicFramePr>
        <xdr:cNvPr id="5" name="Chart 4">
          <a:extLst>
            <a:ext uri="{FF2B5EF4-FFF2-40B4-BE49-F238E27FC236}">
              <a16:creationId xmlns:a16="http://schemas.microsoft.com/office/drawing/2014/main" id="{FBFAD886-8663-D1C6-36AC-64BE87A9BB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806450</xdr:colOff>
      <xdr:row>23</xdr:row>
      <xdr:rowOff>12700</xdr:rowOff>
    </xdr:from>
    <xdr:to>
      <xdr:col>15</xdr:col>
      <xdr:colOff>495300</xdr:colOff>
      <xdr:row>42</xdr:row>
      <xdr:rowOff>50800</xdr:rowOff>
    </xdr:to>
    <xdr:graphicFrame macro="">
      <xdr:nvGraphicFramePr>
        <xdr:cNvPr id="6" name="Chart 5">
          <a:extLst>
            <a:ext uri="{FF2B5EF4-FFF2-40B4-BE49-F238E27FC236}">
              <a16:creationId xmlns:a16="http://schemas.microsoft.com/office/drawing/2014/main" id="{0BECB0CF-1669-AD59-893A-D059BB1FBD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12</xdr:col>
      <xdr:colOff>683682</xdr:colOff>
      <xdr:row>3</xdr:row>
      <xdr:rowOff>12699</xdr:rowOff>
    </xdr:from>
    <xdr:to>
      <xdr:col>21</xdr:col>
      <xdr:colOff>406399</xdr:colOff>
      <xdr:row>27</xdr:row>
      <xdr:rowOff>135466</xdr:rowOff>
    </xdr:to>
    <xdr:graphicFrame macro="">
      <xdr:nvGraphicFramePr>
        <xdr:cNvPr id="2" name="Chart 1">
          <a:extLst>
            <a:ext uri="{FF2B5EF4-FFF2-40B4-BE49-F238E27FC236}">
              <a16:creationId xmlns:a16="http://schemas.microsoft.com/office/drawing/2014/main" id="{492BE82F-83E6-33B0-54CD-4ADD50750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17</xdr:col>
      <xdr:colOff>1312</xdr:colOff>
      <xdr:row>2</xdr:row>
      <xdr:rowOff>153180</xdr:rowOff>
    </xdr:from>
    <xdr:to>
      <xdr:col>23</xdr:col>
      <xdr:colOff>611128</xdr:colOff>
      <xdr:row>22</xdr:row>
      <xdr:rowOff>66842</xdr:rowOff>
    </xdr:to>
    <xdr:graphicFrame macro="">
      <xdr:nvGraphicFramePr>
        <xdr:cNvPr id="3" name="Chart 2">
          <a:extLst>
            <a:ext uri="{FF2B5EF4-FFF2-40B4-BE49-F238E27FC236}">
              <a16:creationId xmlns:a16="http://schemas.microsoft.com/office/drawing/2014/main" id="{9BC33574-C473-A0F1-86E9-56E0E6D2B5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683958</xdr:colOff>
      <xdr:row>4</xdr:row>
      <xdr:rowOff>5548</xdr:rowOff>
    </xdr:from>
    <xdr:to>
      <xdr:col>21</xdr:col>
      <xdr:colOff>305564</xdr:colOff>
      <xdr:row>10</xdr:row>
      <xdr:rowOff>18023</xdr:rowOff>
    </xdr:to>
    <xdr:pic>
      <xdr:nvPicPr>
        <xdr:cNvPr id="5" name="Picture 4" descr="Radial distribution function - Wikipedia">
          <a:extLst>
            <a:ext uri="{FF2B5EF4-FFF2-40B4-BE49-F238E27FC236}">
              <a16:creationId xmlns:a16="http://schemas.microsoft.com/office/drawing/2014/main" id="{B920C5C6-516B-62C4-6EF6-5350E2F64C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465612" y="807653"/>
          <a:ext cx="1264012" cy="1215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17</xdr:col>
      <xdr:colOff>0</xdr:colOff>
      <xdr:row>24</xdr:row>
      <xdr:rowOff>0</xdr:rowOff>
    </xdr:from>
    <xdr:to>
      <xdr:col>23</xdr:col>
      <xdr:colOff>609816</xdr:colOff>
      <xdr:row>43</xdr:row>
      <xdr:rowOff>116862</xdr:rowOff>
    </xdr:to>
    <xdr:graphicFrame macro="">
      <xdr:nvGraphicFramePr>
        <xdr:cNvPr id="2" name="Chart 1">
          <a:extLst>
            <a:ext uri="{FF2B5EF4-FFF2-40B4-BE49-F238E27FC236}">
              <a16:creationId xmlns:a16="http://schemas.microsoft.com/office/drawing/2014/main" id="{D111C412-22D1-E140-9F0D-DBDBE587D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14</xdr:col>
      <xdr:colOff>155223</xdr:colOff>
      <xdr:row>3</xdr:row>
      <xdr:rowOff>42333</xdr:rowOff>
    </xdr:from>
    <xdr:to>
      <xdr:col>14</xdr:col>
      <xdr:colOff>431215</xdr:colOff>
      <xdr:row>10</xdr:row>
      <xdr:rowOff>15290</xdr:rowOff>
    </xdr:to>
    <xdr:pic>
      <xdr:nvPicPr>
        <xdr:cNvPr id="4" name="Picture 3">
          <a:extLst>
            <a:ext uri="{FF2B5EF4-FFF2-40B4-BE49-F238E27FC236}">
              <a16:creationId xmlns:a16="http://schemas.microsoft.com/office/drawing/2014/main" id="{99D1CC28-DCCB-B206-97AF-E299C68D49AC}"/>
            </a:ext>
          </a:extLst>
        </xdr:cNvPr>
        <xdr:cNvPicPr>
          <a:picLocks noChangeAspect="1"/>
        </xdr:cNvPicPr>
      </xdr:nvPicPr>
      <xdr:blipFill>
        <a:blip xmlns:r="http://schemas.openxmlformats.org/officeDocument/2006/relationships" r:embed="rId1"/>
        <a:stretch>
          <a:fillRect/>
        </a:stretch>
      </xdr:blipFill>
      <xdr:spPr>
        <a:xfrm>
          <a:off x="11068756" y="651933"/>
          <a:ext cx="275992" cy="1395357"/>
        </a:xfrm>
        <a:prstGeom prst="rect">
          <a:avLst/>
        </a:prstGeom>
      </xdr:spPr>
    </xdr:pic>
    <xdr:clientData/>
  </xdr:twoCellAnchor>
  <xdr:twoCellAnchor editAs="oneCell">
    <xdr:from>
      <xdr:col>14</xdr:col>
      <xdr:colOff>552176</xdr:colOff>
      <xdr:row>2</xdr:row>
      <xdr:rowOff>179457</xdr:rowOff>
    </xdr:from>
    <xdr:to>
      <xdr:col>20</xdr:col>
      <xdr:colOff>443634</xdr:colOff>
      <xdr:row>23</xdr:row>
      <xdr:rowOff>55219</xdr:rowOff>
    </xdr:to>
    <xdr:pic>
      <xdr:nvPicPr>
        <xdr:cNvPr id="3" name="Picture 2">
          <a:extLst>
            <a:ext uri="{FF2B5EF4-FFF2-40B4-BE49-F238E27FC236}">
              <a16:creationId xmlns:a16="http://schemas.microsoft.com/office/drawing/2014/main" id="{B62F183A-920A-9080-96A2-2ED1F0F8AB18}"/>
            </a:ext>
          </a:extLst>
        </xdr:cNvPr>
        <xdr:cNvPicPr>
          <a:picLocks noChangeAspect="1"/>
        </xdr:cNvPicPr>
      </xdr:nvPicPr>
      <xdr:blipFill>
        <a:blip xmlns:r="http://schemas.openxmlformats.org/officeDocument/2006/relationships" r:embed="rId2"/>
        <a:stretch>
          <a:fillRect/>
        </a:stretch>
      </xdr:blipFill>
      <xdr:spPr>
        <a:xfrm>
          <a:off x="11443806" y="593587"/>
          <a:ext cx="4940398" cy="4224132"/>
        </a:xfrm>
        <a:prstGeom prst="rect">
          <a:avLst/>
        </a:prstGeom>
      </xdr:spPr>
    </xdr:pic>
    <xdr:clientData/>
  </xdr:twoCellAnchor>
  <xdr:twoCellAnchor editAs="oneCell">
    <xdr:from>
      <xdr:col>20</xdr:col>
      <xdr:colOff>579784</xdr:colOff>
      <xdr:row>2</xdr:row>
      <xdr:rowOff>179457</xdr:rowOff>
    </xdr:from>
    <xdr:to>
      <xdr:col>25</xdr:col>
      <xdr:colOff>332298</xdr:colOff>
      <xdr:row>23</xdr:row>
      <xdr:rowOff>54020</xdr:rowOff>
    </xdr:to>
    <xdr:pic>
      <xdr:nvPicPr>
        <xdr:cNvPr id="6" name="Picture 5">
          <a:extLst>
            <a:ext uri="{FF2B5EF4-FFF2-40B4-BE49-F238E27FC236}">
              <a16:creationId xmlns:a16="http://schemas.microsoft.com/office/drawing/2014/main" id="{2DD456C0-F243-00FA-A803-F63250D6CEAB}"/>
            </a:ext>
          </a:extLst>
        </xdr:cNvPr>
        <xdr:cNvPicPr>
          <a:picLocks noChangeAspect="1"/>
        </xdr:cNvPicPr>
      </xdr:nvPicPr>
      <xdr:blipFill>
        <a:blip xmlns:r="http://schemas.openxmlformats.org/officeDocument/2006/relationships" r:embed="rId3"/>
        <a:stretch>
          <a:fillRect/>
        </a:stretch>
      </xdr:blipFill>
      <xdr:spPr>
        <a:xfrm>
          <a:off x="16440980" y="593587"/>
          <a:ext cx="4279346" cy="4222933"/>
        </a:xfrm>
        <a:prstGeom prst="rect">
          <a:avLst/>
        </a:prstGeom>
      </xdr:spPr>
    </xdr:pic>
    <xdr:clientData/>
  </xdr:twoCellAnchor>
  <xdr:twoCellAnchor>
    <xdr:from>
      <xdr:col>14</xdr:col>
      <xdr:colOff>733672</xdr:colOff>
      <xdr:row>30</xdr:row>
      <xdr:rowOff>53656</xdr:rowOff>
    </xdr:from>
    <xdr:to>
      <xdr:col>21</xdr:col>
      <xdr:colOff>101600</xdr:colOff>
      <xdr:row>47</xdr:row>
      <xdr:rowOff>139148</xdr:rowOff>
    </xdr:to>
    <xdr:graphicFrame macro="">
      <xdr:nvGraphicFramePr>
        <xdr:cNvPr id="7" name="Chart 6">
          <a:extLst>
            <a:ext uri="{FF2B5EF4-FFF2-40B4-BE49-F238E27FC236}">
              <a16:creationId xmlns:a16="http://schemas.microsoft.com/office/drawing/2014/main" id="{14E69F86-4F29-7020-B1BF-B7BD2663A6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editAs="oneCell">
    <xdr:from>
      <xdr:col>13</xdr:col>
      <xdr:colOff>965200</xdr:colOff>
      <xdr:row>3</xdr:row>
      <xdr:rowOff>165100</xdr:rowOff>
    </xdr:from>
    <xdr:to>
      <xdr:col>18</xdr:col>
      <xdr:colOff>520700</xdr:colOff>
      <xdr:row>25</xdr:row>
      <xdr:rowOff>93636</xdr:rowOff>
    </xdr:to>
    <xdr:pic>
      <xdr:nvPicPr>
        <xdr:cNvPr id="6" name="Picture 5">
          <a:extLst>
            <a:ext uri="{FF2B5EF4-FFF2-40B4-BE49-F238E27FC236}">
              <a16:creationId xmlns:a16="http://schemas.microsoft.com/office/drawing/2014/main" id="{E64D1DC9-EC71-5CE4-3F76-B9A6F1141B2F}"/>
            </a:ext>
          </a:extLst>
        </xdr:cNvPr>
        <xdr:cNvPicPr>
          <a:picLocks noChangeAspect="1"/>
        </xdr:cNvPicPr>
      </xdr:nvPicPr>
      <xdr:blipFill>
        <a:blip xmlns:r="http://schemas.openxmlformats.org/officeDocument/2006/relationships" r:embed="rId1"/>
        <a:stretch>
          <a:fillRect/>
        </a:stretch>
      </xdr:blipFill>
      <xdr:spPr>
        <a:xfrm>
          <a:off x="13093700" y="368300"/>
          <a:ext cx="4457700" cy="4398936"/>
        </a:xfrm>
        <a:prstGeom prst="rect">
          <a:avLst/>
        </a:prstGeom>
      </xdr:spPr>
    </xdr:pic>
    <xdr:clientData/>
  </xdr:twoCellAnchor>
  <xdr:twoCellAnchor editAs="oneCell">
    <xdr:from>
      <xdr:col>18</xdr:col>
      <xdr:colOff>596900</xdr:colOff>
      <xdr:row>3</xdr:row>
      <xdr:rowOff>139700</xdr:rowOff>
    </xdr:from>
    <xdr:to>
      <xdr:col>24</xdr:col>
      <xdr:colOff>139700</xdr:colOff>
      <xdr:row>25</xdr:row>
      <xdr:rowOff>106604</xdr:rowOff>
    </xdr:to>
    <xdr:pic>
      <xdr:nvPicPr>
        <xdr:cNvPr id="7" name="Picture 6">
          <a:extLst>
            <a:ext uri="{FF2B5EF4-FFF2-40B4-BE49-F238E27FC236}">
              <a16:creationId xmlns:a16="http://schemas.microsoft.com/office/drawing/2014/main" id="{9185C277-9D81-2BD0-A6EF-033FCE9634E1}"/>
            </a:ext>
          </a:extLst>
        </xdr:cNvPr>
        <xdr:cNvPicPr>
          <a:picLocks noChangeAspect="1"/>
        </xdr:cNvPicPr>
      </xdr:nvPicPr>
      <xdr:blipFill>
        <a:blip xmlns:r="http://schemas.openxmlformats.org/officeDocument/2006/relationships" r:embed="rId2"/>
        <a:stretch>
          <a:fillRect/>
        </a:stretch>
      </xdr:blipFill>
      <xdr:spPr>
        <a:xfrm>
          <a:off x="17259300" y="749300"/>
          <a:ext cx="4495800" cy="4437304"/>
        </a:xfrm>
        <a:prstGeom prst="rect">
          <a:avLst/>
        </a:prstGeom>
      </xdr:spPr>
    </xdr:pic>
    <xdr:clientData/>
  </xdr:twoCellAnchor>
  <xdr:twoCellAnchor editAs="oneCell">
    <xdr:from>
      <xdr:col>13</xdr:col>
      <xdr:colOff>457200</xdr:colOff>
      <xdr:row>5</xdr:row>
      <xdr:rowOff>0</xdr:rowOff>
    </xdr:from>
    <xdr:to>
      <xdr:col>13</xdr:col>
      <xdr:colOff>733192</xdr:colOff>
      <xdr:row>12</xdr:row>
      <xdr:rowOff>13</xdr:rowOff>
    </xdr:to>
    <xdr:pic>
      <xdr:nvPicPr>
        <xdr:cNvPr id="8" name="Picture 7">
          <a:extLst>
            <a:ext uri="{FF2B5EF4-FFF2-40B4-BE49-F238E27FC236}">
              <a16:creationId xmlns:a16="http://schemas.microsoft.com/office/drawing/2014/main" id="{7D9F3EB6-0B97-5841-8B45-4D7CE345E86F}"/>
            </a:ext>
          </a:extLst>
        </xdr:cNvPr>
        <xdr:cNvPicPr>
          <a:picLocks noChangeAspect="1"/>
        </xdr:cNvPicPr>
      </xdr:nvPicPr>
      <xdr:blipFill>
        <a:blip xmlns:r="http://schemas.openxmlformats.org/officeDocument/2006/relationships" r:embed="rId3"/>
        <a:stretch>
          <a:fillRect/>
        </a:stretch>
      </xdr:blipFill>
      <xdr:spPr>
        <a:xfrm>
          <a:off x="12585700" y="609600"/>
          <a:ext cx="275992" cy="142241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179924</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2013 - 2022 Theme">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3" Type="http://schemas.openxmlformats.org/officeDocument/2006/relationships/hyperlink" Target="https://doi.org/10.1016/j.carbon.2017.01.078" TargetMode="External"/><Relationship Id="rId2" Type="http://schemas.openxmlformats.org/officeDocument/2006/relationships/hyperlink" Target="https://doi.org/10.1016/j.carbon.2016.09.012" TargetMode="External"/><Relationship Id="rId1" Type="http://schemas.openxmlformats.org/officeDocument/2006/relationships/hyperlink" Target="https://doi.org/10.1016/j.carbon.2016.01.031"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150" zoomScaleNormal="150" workbookViewId="0">
      <selection activeCell="B68" sqref="B68:H68"/>
    </sheetView>
  </sheetViews>
  <sheetFormatPr baseColWidth="10"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0" s="6" customFormat="1" ht="17" x14ac:dyDescent="0.2">
      <c r="B2" s="20" t="s">
        <v>1</v>
      </c>
      <c r="C2" s="20" t="s">
        <v>3</v>
      </c>
      <c r="D2" s="20" t="s">
        <v>49</v>
      </c>
      <c r="E2" s="20" t="s">
        <v>50</v>
      </c>
      <c r="F2" s="20" t="s">
        <v>51</v>
      </c>
      <c r="G2" s="20" t="s">
        <v>52</v>
      </c>
      <c r="H2" s="20" t="s">
        <v>53</v>
      </c>
      <c r="I2" s="21" t="s">
        <v>71</v>
      </c>
    </row>
    <row r="3" spans="2:10" x14ac:dyDescent="0.2">
      <c r="B3" s="93" t="str">
        <f>HYPERLINK("#CHN!A1","Ultimate Analysis")</f>
        <v>Ultimate Analysis</v>
      </c>
      <c r="C3" s="94"/>
      <c r="D3" s="94"/>
      <c r="E3" s="94"/>
      <c r="F3" s="94"/>
      <c r="G3" s="94"/>
      <c r="H3" s="94"/>
      <c r="I3" s="18"/>
    </row>
    <row r="4" spans="2:10" x14ac:dyDescent="0.2">
      <c r="B4" s="4" t="s">
        <v>7</v>
      </c>
      <c r="C4" s="7">
        <f>42.8*100/100.06</f>
        <v>42.774335398760741</v>
      </c>
      <c r="D4" s="7">
        <f>44.5*100/100.03</f>
        <v>44.486654003798861</v>
      </c>
      <c r="E4" s="7">
        <v>74.5</v>
      </c>
      <c r="F4" s="7">
        <v>81.410448506642695</v>
      </c>
      <c r="G4" s="7">
        <f>87.8*100/100.49</f>
        <v>87.37187779878596</v>
      </c>
      <c r="H4" s="7">
        <f>90.2*100/100.19</f>
        <v>90.028945004491462</v>
      </c>
      <c r="I4" s="86" t="s">
        <v>94</v>
      </c>
    </row>
    <row r="5" spans="2:10" x14ac:dyDescent="0.2">
      <c r="B5" s="4" t="s">
        <v>8</v>
      </c>
      <c r="C5" s="7">
        <f>6.4*100/100.06</f>
        <v>6.3961623026184284</v>
      </c>
      <c r="D5" s="7">
        <f>6.1*100/100.03</f>
        <v>6.0981705488353493</v>
      </c>
      <c r="E5" s="7">
        <v>3.92</v>
      </c>
      <c r="F5" s="7">
        <v>3.4961542303466189</v>
      </c>
      <c r="G5" s="7">
        <f>2.7*100/100.48</f>
        <v>2.6871019108280252</v>
      </c>
      <c r="H5" s="7">
        <f>2*100/100.2</f>
        <v>1.996007984031936</v>
      </c>
      <c r="I5" s="87"/>
    </row>
    <row r="6" spans="2:10" x14ac:dyDescent="0.2">
      <c r="B6" s="4" t="s">
        <v>9</v>
      </c>
      <c r="C6" s="7">
        <f>0.06*100/100.06</f>
        <v>5.9964021587047771E-2</v>
      </c>
      <c r="D6" s="7">
        <f>0.03*100/100.03</f>
        <v>2.9991002699190243E-2</v>
      </c>
      <c r="E6" s="7">
        <v>0.08</v>
      </c>
      <c r="F6" s="7">
        <v>0.10987913295375087</v>
      </c>
      <c r="G6" s="7">
        <f>0.24*100/100.52</f>
        <v>0.23875845602865103</v>
      </c>
      <c r="H6" s="7">
        <f>0.36*100/100.19</f>
        <v>0.35931729713544269</v>
      </c>
      <c r="I6" s="87"/>
    </row>
    <row r="7" spans="2:10" x14ac:dyDescent="0.2">
      <c r="B7" s="4" t="s">
        <v>10</v>
      </c>
      <c r="C7" s="7">
        <f>50.8*100/100.06</f>
        <v>50.769538277033782</v>
      </c>
      <c r="D7" s="7">
        <f>49.4*100/100.03</f>
        <v>49.385184444666599</v>
      </c>
      <c r="E7" s="7">
        <v>21.5</v>
      </c>
      <c r="F7" s="7">
        <v>14.983518130056938</v>
      </c>
      <c r="G7" s="7">
        <f>9.3+0.4</f>
        <v>9.7000000000000011</v>
      </c>
      <c r="H7" s="7">
        <f>(7.5+0.12)*100/100.05</f>
        <v>7.6161919040479766</v>
      </c>
      <c r="I7" s="87"/>
    </row>
    <row r="8" spans="2:10" x14ac:dyDescent="0.2">
      <c r="B8" s="4" t="s">
        <v>11</v>
      </c>
      <c r="C8" s="7" t="s">
        <v>12</v>
      </c>
      <c r="D8" s="7" t="s">
        <v>12</v>
      </c>
      <c r="E8" s="7" t="s">
        <v>12</v>
      </c>
      <c r="F8" s="7" t="s">
        <v>12</v>
      </c>
      <c r="G8" s="7" t="s">
        <v>12</v>
      </c>
      <c r="H8" s="7" t="s">
        <v>12</v>
      </c>
      <c r="I8" s="87"/>
    </row>
    <row r="9" spans="2:10" x14ac:dyDescent="0.2">
      <c r="B9" s="4" t="s">
        <v>55</v>
      </c>
      <c r="C9" s="8">
        <v>0.90909090909090906</v>
      </c>
      <c r="D9" s="8">
        <v>0.83333333333333337</v>
      </c>
      <c r="E9" s="8">
        <v>0.21739130434782611</v>
      </c>
      <c r="F9" s="8">
        <v>0.13698630136986301</v>
      </c>
      <c r="G9" s="8">
        <f>(G7*12.011)/(G4*15.999)</f>
        <v>8.3346313095308766E-2</v>
      </c>
      <c r="H9" s="8">
        <v>6.25E-2</v>
      </c>
      <c r="I9" s="87"/>
    </row>
    <row r="10" spans="2:10" x14ac:dyDescent="0.2">
      <c r="B10" s="4" t="s">
        <v>56</v>
      </c>
      <c r="C10" s="8"/>
      <c r="D10" s="8"/>
      <c r="E10" s="8">
        <v>0.62707194387944809</v>
      </c>
      <c r="F10" s="8">
        <v>0.51179732492351981</v>
      </c>
      <c r="G10" s="8">
        <v>0.3664855234279874</v>
      </c>
      <c r="H10" s="8">
        <v>0.26424758936501019</v>
      </c>
      <c r="I10" s="87"/>
      <c r="J10" s="33"/>
    </row>
    <row r="11" spans="2:10" x14ac:dyDescent="0.2">
      <c r="B11" s="4" t="s">
        <v>13</v>
      </c>
      <c r="C11" s="8"/>
      <c r="D11" s="8"/>
      <c r="E11" s="8">
        <v>0.37292805612055191</v>
      </c>
      <c r="F11" s="8">
        <v>0.48820267507648002</v>
      </c>
      <c r="G11" s="8">
        <v>0.63351447657201265</v>
      </c>
      <c r="H11" s="8">
        <v>0.73575241063498975</v>
      </c>
    </row>
    <row r="12" spans="2:10" x14ac:dyDescent="0.2">
      <c r="B12" s="94" t="s">
        <v>57</v>
      </c>
      <c r="C12" s="94"/>
      <c r="D12" s="94"/>
      <c r="E12" s="94"/>
      <c r="F12" s="94"/>
      <c r="G12" s="94"/>
      <c r="H12" s="94"/>
      <c r="I12" s="18"/>
    </row>
    <row r="13" spans="2:10" x14ac:dyDescent="0.2">
      <c r="B13" s="9" t="s">
        <v>4</v>
      </c>
      <c r="C13" s="10">
        <v>3.6</v>
      </c>
      <c r="D13" s="10">
        <v>2.7</v>
      </c>
      <c r="E13" s="10">
        <v>2.6</v>
      </c>
      <c r="F13" s="10">
        <v>1.7</v>
      </c>
      <c r="G13" s="10">
        <v>1</v>
      </c>
      <c r="H13" s="10">
        <v>1</v>
      </c>
      <c r="I13" s="86" t="s">
        <v>94</v>
      </c>
    </row>
    <row r="14" spans="2:10" x14ac:dyDescent="0.2">
      <c r="B14" s="9" t="s">
        <v>5</v>
      </c>
      <c r="C14" s="10" t="s">
        <v>48</v>
      </c>
      <c r="D14" s="10">
        <v>21</v>
      </c>
      <c r="E14" s="10">
        <v>264</v>
      </c>
      <c r="F14" s="10">
        <v>383</v>
      </c>
      <c r="G14" s="10">
        <v>485</v>
      </c>
      <c r="H14" s="10">
        <v>576</v>
      </c>
      <c r="I14" s="87"/>
    </row>
    <row r="15" spans="2:10" ht="17" x14ac:dyDescent="0.2">
      <c r="B15" s="9" t="s">
        <v>58</v>
      </c>
      <c r="C15" s="7"/>
      <c r="D15" s="7">
        <v>2.29</v>
      </c>
      <c r="E15" s="7">
        <v>0.87</v>
      </c>
      <c r="F15" s="7">
        <v>0.84</v>
      </c>
      <c r="G15" s="7">
        <v>0.87</v>
      </c>
      <c r="H15" s="7">
        <v>0.89</v>
      </c>
      <c r="I15" s="5" t="s">
        <v>95</v>
      </c>
    </row>
    <row r="16" spans="2:10" ht="17" customHeight="1" x14ac:dyDescent="0.2">
      <c r="B16" s="4" t="s">
        <v>59</v>
      </c>
      <c r="C16" s="7" t="s">
        <v>48</v>
      </c>
      <c r="D16" s="7">
        <v>8</v>
      </c>
      <c r="E16" s="7">
        <v>42</v>
      </c>
      <c r="F16" s="7">
        <f>42+12</f>
        <v>54</v>
      </c>
      <c r="G16" s="7">
        <v>66</v>
      </c>
      <c r="H16" s="7">
        <v>70</v>
      </c>
      <c r="I16" s="89" t="s">
        <v>61</v>
      </c>
    </row>
    <row r="17" spans="2:17" ht="17" customHeight="1" x14ac:dyDescent="0.2">
      <c r="B17" s="4" t="s">
        <v>60</v>
      </c>
      <c r="C17" s="11">
        <f>(C18-1000)/C18*100</f>
        <v>28.571428571428569</v>
      </c>
      <c r="D17" s="11" t="s">
        <v>48</v>
      </c>
      <c r="E17" s="11">
        <f>((E18-1000)/E18)*100</f>
        <v>35.794542536115571</v>
      </c>
      <c r="F17" s="11">
        <f>((F18-1000)/F18)*100</f>
        <v>31.949642735624362</v>
      </c>
      <c r="G17" s="11">
        <f>((G18-1000)/G18)*100</f>
        <v>35.938500960922489</v>
      </c>
      <c r="H17" s="11">
        <f>((H18-1000)/H18)*100</f>
        <v>42.296595499134447</v>
      </c>
      <c r="I17" s="89"/>
    </row>
    <row r="18" spans="2:17" ht="17" customHeight="1" x14ac:dyDescent="0.2">
      <c r="B18" s="4" t="s">
        <v>167</v>
      </c>
      <c r="C18" s="10">
        <v>1400</v>
      </c>
      <c r="D18" s="10" t="s">
        <v>48</v>
      </c>
      <c r="E18" s="35">
        <f>AVERAGE(1556,1559)</f>
        <v>1557.5</v>
      </c>
      <c r="F18" s="35">
        <f>AVERAGE(1471,1468)</f>
        <v>1469.5</v>
      </c>
      <c r="G18" s="35">
        <f>AVERAGE(1560,1562)</f>
        <v>1561</v>
      </c>
      <c r="H18" s="35">
        <f>AVERAGE(1735,1731)</f>
        <v>1733</v>
      </c>
      <c r="I18" s="89"/>
      <c r="N18" s="35"/>
      <c r="O18" s="35"/>
      <c r="P18" s="35"/>
      <c r="Q18" s="35"/>
    </row>
    <row r="19" spans="2:17" ht="17" customHeight="1" x14ac:dyDescent="0.2">
      <c r="B19" s="36" t="str">
        <f>HYPERLINK("#LDI_FTICR_MS!A1","Median molecular weight from LDI")</f>
        <v>Median molecular weight from LDI</v>
      </c>
      <c r="C19" s="10" t="s">
        <v>48</v>
      </c>
      <c r="D19" s="10" t="s">
        <v>48</v>
      </c>
      <c r="E19" s="35">
        <v>1492</v>
      </c>
      <c r="F19" s="35">
        <v>1777</v>
      </c>
      <c r="G19" s="35">
        <v>2163</v>
      </c>
      <c r="H19" s="35">
        <v>1994.01</v>
      </c>
      <c r="I19" s="89"/>
      <c r="N19" s="12"/>
      <c r="O19" s="12"/>
      <c r="P19" s="12"/>
      <c r="Q19" s="12"/>
    </row>
    <row r="20" spans="2:17" ht="17" customHeight="1" x14ac:dyDescent="0.2">
      <c r="B20" s="4" t="s">
        <v>62</v>
      </c>
      <c r="C20" s="10"/>
      <c r="D20" s="10"/>
      <c r="E20" s="7">
        <f>AVERAGE(0.8061/4.4396,0.8516/4.3596,0.9245/4.7749,0.7917,4.6222,0.853/4.6674,0.7706/4.6618,0.777/4.2811,0.8639/4.4843,0.8383/4.8562,0.7615/4.8858,0.8023/4.4801)*100</f>
        <v>60.118288972571932</v>
      </c>
      <c r="F20" s="7">
        <f>AVERAGE(0.5854/4.7864,0.6487/4.6118,0.6195/4.5517,0.5923/4.258,0.6065/4.2,0.642/4.6547,0.5797/4.1586,0.6637/4.7373)*100</f>
        <v>13.750003528408039</v>
      </c>
      <c r="G20" s="7">
        <f>AVERAGE(0.431/4.325,0.4096/4.0225,0.4083/4.212,0.4627/4.469,0.4401/4.32,0.5355/4.9336,0.448/4.4312,0.4811/4.511,0.5025/4.6745,0.4701/4.5262,0.4849/4.5479,0.4779/4.4821,0.466/4.5006,0.4438/4.267)*100</f>
        <v>10.373395811844361</v>
      </c>
      <c r="H20" s="7">
        <f>AVERAGE(0.3346/4.2746,0.3905/4.9487,0.2936/4.3585,0.3793/4.5672,0.3692/4.5872,0.4081/4.8929,0.3678/4.4431,0.4271/5.0525,0.3887/4.6164,0.3937/4.6996)*100</f>
        <v>8.0677400552799394</v>
      </c>
      <c r="I20" s="90"/>
    </row>
    <row r="21" spans="2:17" x14ac:dyDescent="0.2">
      <c r="B21" s="93" t="str">
        <f>HYPERLINK("#ESR!A1", "Electron Spin Resonance")</f>
        <v>Electron Spin Resonance</v>
      </c>
      <c r="C21" s="94"/>
      <c r="D21" s="94"/>
      <c r="E21" s="94"/>
      <c r="F21" s="94"/>
      <c r="G21" s="94"/>
      <c r="H21" s="94"/>
      <c r="I21" s="19"/>
    </row>
    <row r="22" spans="2:17" ht="19" x14ac:dyDescent="0.25">
      <c r="B22" s="4" t="s">
        <v>93</v>
      </c>
      <c r="C22" s="11" t="s">
        <v>48</v>
      </c>
      <c r="D22" s="11" t="s">
        <v>48</v>
      </c>
      <c r="E22" s="11" t="s">
        <v>96</v>
      </c>
      <c r="F22" s="11" t="s">
        <v>96</v>
      </c>
      <c r="G22" s="11" t="s">
        <v>97</v>
      </c>
      <c r="H22" s="11" t="s">
        <v>98</v>
      </c>
      <c r="I22" s="91" t="s">
        <v>61</v>
      </c>
    </row>
    <row r="23" spans="2:17" ht="17" customHeight="1" x14ac:dyDescent="0.2">
      <c r="B23" s="4" t="s">
        <v>92</v>
      </c>
      <c r="C23" s="10" t="s">
        <v>48</v>
      </c>
      <c r="D23" s="10" t="s">
        <v>48</v>
      </c>
      <c r="E23" s="10">
        <v>9.8375000000000004</v>
      </c>
      <c r="F23" s="10">
        <v>9.8330000000000002</v>
      </c>
      <c r="G23" s="10">
        <v>9.8422000000000001</v>
      </c>
      <c r="H23" s="10">
        <v>9.8356999999999992</v>
      </c>
      <c r="I23" s="89"/>
    </row>
    <row r="24" spans="2:17" ht="17" customHeight="1" x14ac:dyDescent="0.2">
      <c r="B24" s="4" t="s">
        <v>90</v>
      </c>
      <c r="C24" s="11" t="s">
        <v>48</v>
      </c>
      <c r="D24" s="11" t="s">
        <v>48</v>
      </c>
      <c r="E24" s="13">
        <v>2.0061</v>
      </c>
      <c r="F24" s="13">
        <v>2.0059</v>
      </c>
      <c r="G24" s="13">
        <v>2.0059999999999998</v>
      </c>
      <c r="H24" s="13">
        <v>2.0295999999999998</v>
      </c>
      <c r="I24" s="89"/>
    </row>
    <row r="25" spans="2:17" ht="18" x14ac:dyDescent="0.2">
      <c r="B25" s="4" t="s">
        <v>91</v>
      </c>
      <c r="C25" s="10" t="s">
        <v>48</v>
      </c>
      <c r="D25" s="10" t="s">
        <v>48</v>
      </c>
      <c r="E25" s="10" t="s">
        <v>99</v>
      </c>
      <c r="F25" s="10" t="s">
        <v>100</v>
      </c>
      <c r="G25" s="10" t="s">
        <v>101</v>
      </c>
      <c r="H25" s="10" t="s">
        <v>102</v>
      </c>
      <c r="I25" s="90"/>
    </row>
    <row r="26" spans="2:17" ht="18" customHeight="1" x14ac:dyDescent="0.2">
      <c r="B26" s="93" t="str">
        <f>HYPERLINK("#NMR!A1"," Multi CP 13C NMR")</f>
        <v xml:space="preserve"> Multi CP 13C NMR</v>
      </c>
      <c r="C26" s="94"/>
      <c r="D26" s="94"/>
      <c r="E26" s="94"/>
      <c r="F26" s="94"/>
      <c r="G26" s="94"/>
      <c r="H26" s="94"/>
      <c r="I26" s="18"/>
    </row>
    <row r="27" spans="2:17" x14ac:dyDescent="0.2">
      <c r="B27" s="4" t="s">
        <v>37</v>
      </c>
      <c r="C27" s="10" t="s">
        <v>48</v>
      </c>
      <c r="D27" s="10" t="s">
        <v>48</v>
      </c>
      <c r="E27" s="12">
        <f>3</f>
        <v>3</v>
      </c>
      <c r="F27" s="34">
        <f>3-4/6</f>
        <v>2.3333333333333335</v>
      </c>
      <c r="G27" s="12">
        <v>1</v>
      </c>
      <c r="H27" s="4">
        <v>2</v>
      </c>
      <c r="I27" s="86" t="s">
        <v>103</v>
      </c>
    </row>
    <row r="28" spans="2:17" x14ac:dyDescent="0.2">
      <c r="B28" s="4" t="s">
        <v>38</v>
      </c>
      <c r="C28" s="10" t="s">
        <v>48</v>
      </c>
      <c r="D28" s="10" t="s">
        <v>48</v>
      </c>
      <c r="E28" s="12">
        <v>5</v>
      </c>
      <c r="F28" s="34">
        <f>4-4/6</f>
        <v>3.3333333333333335</v>
      </c>
      <c r="G28" s="12">
        <v>3</v>
      </c>
      <c r="H28" s="4">
        <v>2</v>
      </c>
      <c r="I28" s="87"/>
    </row>
    <row r="29" spans="2:17" x14ac:dyDescent="0.2">
      <c r="B29" s="4" t="s">
        <v>39</v>
      </c>
      <c r="C29" s="10" t="s">
        <v>48</v>
      </c>
      <c r="D29" s="10" t="s">
        <v>48</v>
      </c>
      <c r="E29" s="12">
        <v>10</v>
      </c>
      <c r="F29" s="34">
        <f>13-4/6</f>
        <v>12.333333333333334</v>
      </c>
      <c r="G29" s="12">
        <v>7</v>
      </c>
      <c r="H29" s="4">
        <v>5</v>
      </c>
      <c r="I29" s="87"/>
    </row>
    <row r="30" spans="2:17" x14ac:dyDescent="0.2">
      <c r="B30" s="4" t="s">
        <v>40</v>
      </c>
      <c r="C30" s="10" t="s">
        <v>48</v>
      </c>
      <c r="D30" s="10" t="s">
        <v>48</v>
      </c>
      <c r="E30" s="12">
        <v>14</v>
      </c>
      <c r="F30" s="34">
        <f>12-4/6</f>
        <v>11.333333333333334</v>
      </c>
      <c r="G30" s="12">
        <v>7</v>
      </c>
      <c r="H30" s="4">
        <v>13</v>
      </c>
      <c r="I30" s="87"/>
    </row>
    <row r="31" spans="2:17" x14ac:dyDescent="0.2">
      <c r="B31" s="4" t="s">
        <v>41</v>
      </c>
      <c r="C31" s="10" t="s">
        <v>48</v>
      </c>
      <c r="D31" s="10" t="s">
        <v>48</v>
      </c>
      <c r="E31" s="12">
        <v>51</v>
      </c>
      <c r="F31" s="34">
        <f>68-4/6</f>
        <v>67.333333333333329</v>
      </c>
      <c r="G31" s="12">
        <v>82</v>
      </c>
      <c r="H31" s="4">
        <v>78</v>
      </c>
      <c r="I31" s="87"/>
    </row>
    <row r="32" spans="2:17" x14ac:dyDescent="0.2">
      <c r="B32" s="4" t="s">
        <v>42</v>
      </c>
      <c r="C32" s="10" t="s">
        <v>48</v>
      </c>
      <c r="D32" s="10" t="s">
        <v>48</v>
      </c>
      <c r="E32" s="12">
        <v>17</v>
      </c>
      <c r="F32" s="34">
        <f>4-4/6</f>
        <v>3.3333333333333335</v>
      </c>
      <c r="G32" s="4">
        <v>0</v>
      </c>
      <c r="H32" s="4">
        <v>0</v>
      </c>
      <c r="I32" s="87"/>
    </row>
    <row r="33" spans="2:9" x14ac:dyDescent="0.2">
      <c r="B33" s="92" t="s">
        <v>170</v>
      </c>
      <c r="C33" s="92"/>
      <c r="D33" s="92"/>
      <c r="E33" s="92"/>
      <c r="F33" s="92"/>
      <c r="G33" s="92"/>
      <c r="H33" s="92"/>
      <c r="I33" s="87"/>
    </row>
    <row r="34" spans="2:9" x14ac:dyDescent="0.2">
      <c r="B34" s="92" t="s">
        <v>168</v>
      </c>
      <c r="C34" s="92"/>
      <c r="D34" s="92"/>
      <c r="E34" s="92"/>
      <c r="F34" s="92"/>
      <c r="G34" s="92"/>
      <c r="H34" s="92"/>
      <c r="I34" s="87"/>
    </row>
    <row r="35" spans="2:9" x14ac:dyDescent="0.2">
      <c r="B35" s="4" t="s">
        <v>43</v>
      </c>
      <c r="C35" s="10" t="s">
        <v>48</v>
      </c>
      <c r="D35" s="10" t="s">
        <v>48</v>
      </c>
      <c r="E35" s="10">
        <v>15</v>
      </c>
      <c r="F35" s="10">
        <v>31</v>
      </c>
      <c r="G35" s="10">
        <v>37</v>
      </c>
      <c r="H35" s="10">
        <v>35</v>
      </c>
      <c r="I35" s="87"/>
    </row>
    <row r="36" spans="2:9" x14ac:dyDescent="0.2">
      <c r="B36" s="4" t="s">
        <v>169</v>
      </c>
      <c r="C36" s="10" t="s">
        <v>48</v>
      </c>
      <c r="D36" s="10" t="s">
        <v>48</v>
      </c>
      <c r="E36" s="10">
        <v>67</v>
      </c>
      <c r="F36" s="10">
        <v>47</v>
      </c>
      <c r="G36" s="10">
        <v>41</v>
      </c>
      <c r="H36" s="10">
        <v>35</v>
      </c>
      <c r="I36" s="87"/>
    </row>
    <row r="37" spans="2:9" x14ac:dyDescent="0.2">
      <c r="B37" s="4" t="s">
        <v>44</v>
      </c>
      <c r="C37" s="10" t="s">
        <v>48</v>
      </c>
      <c r="D37" s="10" t="s">
        <v>48</v>
      </c>
      <c r="E37" s="10">
        <v>17</v>
      </c>
      <c r="F37" s="10">
        <v>23</v>
      </c>
      <c r="G37" s="10">
        <v>19</v>
      </c>
      <c r="H37" s="10">
        <v>21</v>
      </c>
      <c r="I37" s="87"/>
    </row>
    <row r="38" spans="2:9" x14ac:dyDescent="0.2">
      <c r="B38" s="4" t="s">
        <v>45</v>
      </c>
      <c r="C38" s="10" t="s">
        <v>48</v>
      </c>
      <c r="D38" s="10" t="s">
        <v>48</v>
      </c>
      <c r="E38" s="10" t="s">
        <v>46</v>
      </c>
      <c r="F38" s="10" t="s">
        <v>46</v>
      </c>
      <c r="G38" s="10">
        <v>2</v>
      </c>
      <c r="H38" s="10">
        <v>9</v>
      </c>
      <c r="I38" s="87"/>
    </row>
    <row r="39" spans="2:9" x14ac:dyDescent="0.2">
      <c r="B39" s="92" t="s">
        <v>47</v>
      </c>
      <c r="C39" s="92"/>
      <c r="D39" s="92"/>
      <c r="E39" s="92"/>
      <c r="F39" s="92"/>
      <c r="G39" s="92"/>
      <c r="H39" s="92"/>
      <c r="I39" s="87"/>
    </row>
    <row r="40" spans="2:9" x14ac:dyDescent="0.2">
      <c r="B40" s="4" t="s">
        <v>43</v>
      </c>
      <c r="C40" s="10" t="s">
        <v>48</v>
      </c>
      <c r="D40" s="10" t="s">
        <v>48</v>
      </c>
      <c r="E40" s="10">
        <v>20</v>
      </c>
      <c r="F40" s="10">
        <v>37</v>
      </c>
      <c r="G40" s="10">
        <v>1</v>
      </c>
      <c r="H40" s="10">
        <v>0</v>
      </c>
      <c r="I40" s="87"/>
    </row>
    <row r="41" spans="2:9" x14ac:dyDescent="0.2">
      <c r="B41" s="4" t="s">
        <v>169</v>
      </c>
      <c r="C41" s="10" t="s">
        <v>48</v>
      </c>
      <c r="D41" s="10" t="s">
        <v>48</v>
      </c>
      <c r="E41" s="10">
        <v>60</v>
      </c>
      <c r="F41" s="10">
        <v>23</v>
      </c>
      <c r="G41" s="10">
        <v>61</v>
      </c>
      <c r="H41" s="10">
        <v>73</v>
      </c>
      <c r="I41" s="87"/>
    </row>
    <row r="42" spans="2:9" x14ac:dyDescent="0.2">
      <c r="B42" s="4" t="s">
        <v>44</v>
      </c>
      <c r="C42" s="10" t="s">
        <v>48</v>
      </c>
      <c r="D42" s="10" t="s">
        <v>48</v>
      </c>
      <c r="E42" s="10">
        <v>20</v>
      </c>
      <c r="F42" s="10">
        <v>40</v>
      </c>
      <c r="G42" s="10">
        <v>38</v>
      </c>
      <c r="H42" s="10">
        <v>19</v>
      </c>
      <c r="I42" s="87"/>
    </row>
    <row r="43" spans="2:9" x14ac:dyDescent="0.2">
      <c r="B43" s="4" t="s">
        <v>45</v>
      </c>
      <c r="C43" s="10" t="s">
        <v>48</v>
      </c>
      <c r="D43" s="10" t="s">
        <v>48</v>
      </c>
      <c r="E43" s="10" t="s">
        <v>46</v>
      </c>
      <c r="F43" s="10" t="s">
        <v>46</v>
      </c>
      <c r="G43" s="10" t="s">
        <v>46</v>
      </c>
      <c r="H43" s="10">
        <v>8</v>
      </c>
      <c r="I43" s="87"/>
    </row>
    <row r="44" spans="2:9" x14ac:dyDescent="0.2">
      <c r="B44" s="92" t="s">
        <v>42</v>
      </c>
      <c r="C44" s="92"/>
      <c r="D44" s="92"/>
      <c r="E44" s="92"/>
      <c r="F44" s="92"/>
      <c r="G44" s="92"/>
      <c r="H44" s="92"/>
      <c r="I44" s="87"/>
    </row>
    <row r="45" spans="2:9" x14ac:dyDescent="0.2">
      <c r="B45" s="4" t="s">
        <v>43</v>
      </c>
      <c r="C45" s="10" t="s">
        <v>48</v>
      </c>
      <c r="D45" s="10" t="s">
        <v>48</v>
      </c>
      <c r="E45" s="10">
        <v>92</v>
      </c>
      <c r="F45" s="10">
        <v>100</v>
      </c>
      <c r="G45" s="10" t="s">
        <v>6</v>
      </c>
      <c r="H45" s="10" t="s">
        <v>6</v>
      </c>
      <c r="I45" s="87"/>
    </row>
    <row r="46" spans="2:9" x14ac:dyDescent="0.2">
      <c r="B46" s="4" t="s">
        <v>169</v>
      </c>
      <c r="C46" s="10" t="s">
        <v>48</v>
      </c>
      <c r="D46" s="10" t="s">
        <v>48</v>
      </c>
      <c r="E46" s="10">
        <v>8</v>
      </c>
      <c r="F46" s="10" t="s">
        <v>6</v>
      </c>
      <c r="G46" s="10" t="s">
        <v>6</v>
      </c>
      <c r="H46" s="10"/>
      <c r="I46" s="88"/>
    </row>
    <row r="47" spans="2:9" x14ac:dyDescent="0.2">
      <c r="B47" s="93" t="str">
        <f>HYPERLINK("#BPCA_Results!A1","BPCA yield (%)")</f>
        <v>BPCA yield (%)</v>
      </c>
      <c r="C47" s="94"/>
      <c r="D47" s="94"/>
      <c r="E47" s="94"/>
      <c r="F47" s="94"/>
      <c r="G47" s="94"/>
      <c r="H47" s="94"/>
      <c r="I47" s="18"/>
    </row>
    <row r="48" spans="2:9" x14ac:dyDescent="0.2">
      <c r="B48" s="4" t="s">
        <v>160</v>
      </c>
      <c r="C48" s="6"/>
      <c r="D48" s="6"/>
      <c r="E48" s="13">
        <v>4.3200000000000002E-2</v>
      </c>
      <c r="F48" s="13">
        <v>3.6400000000000002E-2</v>
      </c>
      <c r="G48" s="13">
        <v>2.01E-2</v>
      </c>
      <c r="H48" s="13">
        <v>1.78E-2</v>
      </c>
      <c r="I48" s="89" t="s">
        <v>61</v>
      </c>
    </row>
    <row r="49" spans="2:9" x14ac:dyDescent="0.2">
      <c r="B49" s="4" t="s">
        <v>161</v>
      </c>
      <c r="C49" s="13"/>
      <c r="E49" s="13">
        <v>4.2299999999999997E-2</v>
      </c>
      <c r="F49" s="13">
        <v>4.4600000000000001E-2</v>
      </c>
      <c r="G49" s="13">
        <v>3.6999999999999998E-2</v>
      </c>
      <c r="H49" s="13">
        <v>2.47E-2</v>
      </c>
      <c r="I49" s="89"/>
    </row>
    <row r="50" spans="2:9" x14ac:dyDescent="0.2">
      <c r="B50" s="4" t="s">
        <v>162</v>
      </c>
      <c r="C50" s="13"/>
      <c r="E50" s="13">
        <v>0.107</v>
      </c>
      <c r="F50" s="13">
        <v>6.59E-2</v>
      </c>
      <c r="G50" s="13">
        <v>3.0200000000000001E-2</v>
      </c>
      <c r="H50" s="13">
        <v>2.2000000000000001E-3</v>
      </c>
      <c r="I50" s="89"/>
    </row>
    <row r="51" spans="2:9" x14ac:dyDescent="0.2">
      <c r="B51" s="4" t="s">
        <v>163</v>
      </c>
      <c r="C51" s="13"/>
      <c r="E51" s="13">
        <v>6.7699999999999996E-2</v>
      </c>
      <c r="F51" s="13">
        <v>5.7599999999999998E-2</v>
      </c>
      <c r="G51" s="13">
        <v>3.4500000000000003E-2</v>
      </c>
      <c r="H51" s="13">
        <v>7.4000000000000003E-3</v>
      </c>
      <c r="I51" s="89"/>
    </row>
    <row r="52" spans="2:9" x14ac:dyDescent="0.2">
      <c r="B52" s="4" t="s">
        <v>164</v>
      </c>
      <c r="C52" s="13"/>
      <c r="E52" s="13">
        <v>0.15329999999999999</v>
      </c>
      <c r="F52" s="13">
        <v>0.1421</v>
      </c>
      <c r="G52" s="13">
        <v>0.13</v>
      </c>
      <c r="H52" s="13">
        <v>9.98E-2</v>
      </c>
      <c r="I52" s="89"/>
    </row>
    <row r="53" spans="2:9" x14ac:dyDescent="0.2">
      <c r="B53" s="4" t="s">
        <v>165</v>
      </c>
      <c r="C53" s="13"/>
      <c r="E53" s="13">
        <v>0.36030000000000001</v>
      </c>
      <c r="F53" s="13">
        <v>0.35260000000000002</v>
      </c>
      <c r="G53" s="13">
        <v>0.32490000000000002</v>
      </c>
      <c r="H53" s="13">
        <v>0.30990000000000001</v>
      </c>
      <c r="I53" s="89"/>
    </row>
    <row r="54" spans="2:9" x14ac:dyDescent="0.2">
      <c r="B54" s="4" t="s">
        <v>166</v>
      </c>
      <c r="C54" s="13"/>
      <c r="E54" s="13">
        <v>0.22620000000000001</v>
      </c>
      <c r="F54" s="13">
        <v>0.30080000000000001</v>
      </c>
      <c r="G54" s="13">
        <v>0.42330000000000001</v>
      </c>
      <c r="H54" s="13">
        <v>0.53820000000000001</v>
      </c>
      <c r="I54" s="90"/>
    </row>
    <row r="55" spans="2:9" x14ac:dyDescent="0.2">
      <c r="B55" s="93" t="str">
        <f>HYPERLINK("#FTIR!A1","Funtional Groups from FTIR Qualitative data")</f>
        <v>Funtional Groups from FTIR Qualitative data</v>
      </c>
      <c r="C55" s="94"/>
      <c r="D55" s="94"/>
      <c r="E55" s="94"/>
      <c r="F55" s="94"/>
      <c r="G55" s="94"/>
      <c r="H55" s="94"/>
      <c r="I55" s="18"/>
    </row>
    <row r="56" spans="2:9" x14ac:dyDescent="0.2">
      <c r="B56" s="95" t="s">
        <v>14</v>
      </c>
      <c r="C56" s="4" t="s">
        <v>15</v>
      </c>
      <c r="D56" s="96" t="s">
        <v>16</v>
      </c>
      <c r="E56" s="96"/>
      <c r="F56" s="96"/>
      <c r="G56" s="96"/>
      <c r="H56" s="96"/>
      <c r="I56" s="86" t="s">
        <v>114</v>
      </c>
    </row>
    <row r="57" spans="2:9" x14ac:dyDescent="0.2">
      <c r="B57" s="95"/>
      <c r="C57" s="4" t="s">
        <v>17</v>
      </c>
      <c r="D57" s="96"/>
      <c r="E57" s="96"/>
      <c r="F57" s="96"/>
      <c r="G57" s="96"/>
      <c r="H57" s="96"/>
      <c r="I57" s="87"/>
    </row>
    <row r="58" spans="2:9" x14ac:dyDescent="0.2">
      <c r="B58" s="95" t="s">
        <v>18</v>
      </c>
      <c r="C58" s="4" t="s">
        <v>17</v>
      </c>
      <c r="D58" s="96" t="s">
        <v>206</v>
      </c>
      <c r="E58" s="96"/>
      <c r="F58" s="96"/>
      <c r="G58" s="96"/>
      <c r="H58" s="96"/>
      <c r="I58" s="87"/>
    </row>
    <row r="59" spans="2:9" x14ac:dyDescent="0.2">
      <c r="B59" s="95"/>
      <c r="C59" s="4" t="s">
        <v>19</v>
      </c>
      <c r="D59" s="96"/>
      <c r="E59" s="96"/>
      <c r="F59" s="96"/>
      <c r="G59" s="96"/>
      <c r="H59" s="96"/>
      <c r="I59" s="87"/>
    </row>
    <row r="60" spans="2:9" ht="31" customHeight="1" x14ac:dyDescent="0.2">
      <c r="B60" s="14" t="s">
        <v>20</v>
      </c>
      <c r="C60" s="81" t="s">
        <v>21</v>
      </c>
      <c r="D60" s="81" t="s">
        <v>22</v>
      </c>
      <c r="E60" s="87" t="s">
        <v>207</v>
      </c>
      <c r="F60" s="87"/>
      <c r="G60" s="87"/>
      <c r="H60" s="87"/>
      <c r="I60" s="87"/>
    </row>
    <row r="61" spans="2:9" x14ac:dyDescent="0.2">
      <c r="B61" s="14" t="s">
        <v>23</v>
      </c>
      <c r="C61" s="92" t="s">
        <v>21</v>
      </c>
      <c r="D61" s="92"/>
      <c r="E61" s="92"/>
      <c r="F61" s="92"/>
      <c r="G61" s="92"/>
      <c r="H61" s="92"/>
      <c r="I61" s="87"/>
    </row>
    <row r="62" spans="2:9" x14ac:dyDescent="0.2">
      <c r="B62" s="14" t="s">
        <v>20</v>
      </c>
      <c r="C62" s="92" t="s">
        <v>24</v>
      </c>
      <c r="D62" s="92"/>
      <c r="E62" s="92"/>
      <c r="F62" s="92"/>
      <c r="G62" s="92"/>
      <c r="H62" s="92"/>
      <c r="I62" s="88"/>
    </row>
    <row r="63" spans="2:9" x14ac:dyDescent="0.2">
      <c r="B63" s="93" t="str">
        <f>HYPERLINK("#XPS!A1","XPS C1s and O1s Qualitative data")</f>
        <v>XPS C1s and O1s Qualitative data</v>
      </c>
      <c r="C63" s="94"/>
      <c r="D63" s="94"/>
      <c r="E63" s="94"/>
      <c r="F63" s="94"/>
      <c r="G63" s="94"/>
      <c r="H63" s="94"/>
      <c r="I63" s="18"/>
    </row>
    <row r="64" spans="2:9" x14ac:dyDescent="0.2">
      <c r="B64" s="4" t="s">
        <v>25</v>
      </c>
      <c r="C64" s="4">
        <v>2</v>
      </c>
      <c r="D64" s="4">
        <v>3.5</v>
      </c>
      <c r="E64" s="4">
        <v>16.600000000000001</v>
      </c>
      <c r="F64" s="4">
        <v>41.5</v>
      </c>
      <c r="G64" s="4">
        <v>51.1</v>
      </c>
      <c r="H64" s="4">
        <v>51.6</v>
      </c>
      <c r="I64" s="86" t="s">
        <v>115</v>
      </c>
    </row>
    <row r="65" spans="2:9" x14ac:dyDescent="0.2">
      <c r="B65" s="4" t="s">
        <v>26</v>
      </c>
      <c r="C65" s="4">
        <v>94.3</v>
      </c>
      <c r="D65" s="4">
        <v>92.1</v>
      </c>
      <c r="E65" s="4">
        <v>55.9</v>
      </c>
      <c r="F65" s="4">
        <v>24.9</v>
      </c>
      <c r="G65" s="4">
        <v>8.1</v>
      </c>
      <c r="H65" s="4">
        <v>5.5</v>
      </c>
      <c r="I65" s="87"/>
    </row>
    <row r="66" spans="2:9" x14ac:dyDescent="0.2">
      <c r="B66" s="4" t="s">
        <v>27</v>
      </c>
      <c r="C66" s="4">
        <v>1.5</v>
      </c>
      <c r="D66" s="4">
        <v>2.1</v>
      </c>
      <c r="E66" s="4">
        <v>17.899999999999999</v>
      </c>
      <c r="F66" s="4">
        <v>29.3</v>
      </c>
      <c r="G66" s="4">
        <v>38.200000000000003</v>
      </c>
      <c r="H66" s="4">
        <v>34.299999999999997</v>
      </c>
      <c r="I66" s="87"/>
    </row>
    <row r="67" spans="2:9" x14ac:dyDescent="0.2">
      <c r="B67" s="4" t="s">
        <v>28</v>
      </c>
      <c r="C67" s="4">
        <v>2.2999999999999998</v>
      </c>
      <c r="D67" s="4">
        <v>2.2999999999999998</v>
      </c>
      <c r="E67" s="4">
        <v>9.4</v>
      </c>
      <c r="F67" s="4">
        <v>4.4000000000000004</v>
      </c>
      <c r="G67" s="4">
        <v>1.6</v>
      </c>
      <c r="H67" s="4">
        <v>7.5</v>
      </c>
      <c r="I67" s="87"/>
    </row>
    <row r="68" spans="2:9" x14ac:dyDescent="0.2">
      <c r="B68" s="92" t="s">
        <v>29</v>
      </c>
      <c r="C68" s="92"/>
      <c r="D68" s="92"/>
      <c r="E68" s="92"/>
      <c r="F68" s="92"/>
      <c r="G68" s="92"/>
      <c r="H68" s="92"/>
      <c r="I68" s="87"/>
    </row>
    <row r="69" spans="2:9" x14ac:dyDescent="0.2">
      <c r="B69" s="4" t="s">
        <v>30</v>
      </c>
      <c r="C69" s="4">
        <v>4.9000000000000004</v>
      </c>
      <c r="D69" s="4">
        <v>3.5</v>
      </c>
      <c r="E69" s="4">
        <v>11</v>
      </c>
      <c r="F69" s="4">
        <v>5.7</v>
      </c>
      <c r="G69" s="4">
        <v>5</v>
      </c>
      <c r="H69" s="4">
        <v>3.5</v>
      </c>
      <c r="I69" s="87"/>
    </row>
    <row r="70" spans="2:9" x14ac:dyDescent="0.2">
      <c r="B70" s="4" t="s">
        <v>31</v>
      </c>
      <c r="C70" s="4">
        <v>6</v>
      </c>
      <c r="D70" s="4">
        <v>14</v>
      </c>
      <c r="E70" s="4">
        <v>35.799999999999997</v>
      </c>
      <c r="F70" s="4">
        <v>52</v>
      </c>
      <c r="G70" s="4">
        <v>67.400000000000006</v>
      </c>
      <c r="H70" s="4">
        <v>75.400000000000006</v>
      </c>
      <c r="I70" s="87"/>
    </row>
    <row r="71" spans="2:9" x14ac:dyDescent="0.2">
      <c r="B71" s="4" t="s">
        <v>32</v>
      </c>
      <c r="C71" s="4">
        <v>0.8</v>
      </c>
      <c r="D71" s="4">
        <v>4.9000000000000004</v>
      </c>
      <c r="E71" s="4">
        <v>26.9</v>
      </c>
      <c r="F71" s="4">
        <v>16</v>
      </c>
      <c r="G71" s="4">
        <v>14.3</v>
      </c>
      <c r="H71" s="4">
        <v>9.1999999999999993</v>
      </c>
      <c r="I71" s="87"/>
    </row>
    <row r="72" spans="2:9" x14ac:dyDescent="0.2">
      <c r="B72" s="4" t="s">
        <v>20</v>
      </c>
      <c r="C72" s="4">
        <v>66.400000000000006</v>
      </c>
      <c r="D72" s="4">
        <v>59.8</v>
      </c>
      <c r="E72" s="4">
        <v>18.100000000000001</v>
      </c>
      <c r="F72" s="4">
        <v>15.8</v>
      </c>
      <c r="G72" s="4">
        <v>5.3</v>
      </c>
      <c r="H72" s="4">
        <v>4.3</v>
      </c>
      <c r="I72" s="87"/>
    </row>
    <row r="73" spans="2:9" x14ac:dyDescent="0.2">
      <c r="B73" s="4" t="s">
        <v>33</v>
      </c>
      <c r="C73" s="4">
        <v>20.399999999999999</v>
      </c>
      <c r="D73" s="4">
        <v>15.4</v>
      </c>
      <c r="E73" s="4">
        <v>0.3</v>
      </c>
      <c r="F73" s="4">
        <v>2.2999999999999998</v>
      </c>
      <c r="G73" s="4">
        <v>0.3</v>
      </c>
      <c r="H73" s="4">
        <v>0.1</v>
      </c>
      <c r="I73" s="87"/>
    </row>
    <row r="74" spans="2:9" x14ac:dyDescent="0.2">
      <c r="B74" s="4" t="s">
        <v>34</v>
      </c>
      <c r="C74" s="4">
        <v>20.399999999999999</v>
      </c>
      <c r="D74" s="4">
        <v>15.4</v>
      </c>
      <c r="E74" s="4">
        <v>0.3</v>
      </c>
      <c r="F74" s="4">
        <v>0.6</v>
      </c>
      <c r="G74" s="4">
        <v>0.2</v>
      </c>
      <c r="H74" s="4">
        <v>0.1</v>
      </c>
      <c r="I74" s="87"/>
    </row>
    <row r="75" spans="2:9" x14ac:dyDescent="0.2">
      <c r="B75" s="4" t="s">
        <v>35</v>
      </c>
      <c r="C75" s="4">
        <v>0.6</v>
      </c>
      <c r="D75" s="4">
        <v>2.4</v>
      </c>
      <c r="E75" s="4">
        <v>4.5999999999999996</v>
      </c>
      <c r="F75" s="4">
        <v>4.4000000000000004</v>
      </c>
      <c r="G75" s="4">
        <v>3.4</v>
      </c>
      <c r="H75" s="4">
        <v>3.4</v>
      </c>
      <c r="I75" s="87"/>
    </row>
    <row r="76" spans="2:9" x14ac:dyDescent="0.2">
      <c r="B76" s="4" t="s">
        <v>69</v>
      </c>
      <c r="C76" s="4">
        <v>0.56999999999999995</v>
      </c>
      <c r="D76" s="4">
        <v>0.7</v>
      </c>
      <c r="E76" s="4">
        <v>0.64</v>
      </c>
      <c r="F76" s="4">
        <v>0.84</v>
      </c>
      <c r="G76" s="4">
        <v>0.91</v>
      </c>
      <c r="H76" s="4">
        <v>0.52</v>
      </c>
      <c r="I76" s="87"/>
    </row>
    <row r="77" spans="2:9" x14ac:dyDescent="0.2">
      <c r="B77" s="4" t="s">
        <v>70</v>
      </c>
      <c r="C77" s="4">
        <v>0.55000000000000004</v>
      </c>
      <c r="D77" s="4">
        <v>0.64</v>
      </c>
      <c r="E77" s="4">
        <v>0.64</v>
      </c>
      <c r="F77" s="4">
        <v>0.57999999999999996</v>
      </c>
      <c r="G77" s="4">
        <v>0.66</v>
      </c>
      <c r="H77" s="4">
        <v>0.42</v>
      </c>
      <c r="I77" s="87"/>
    </row>
    <row r="78" spans="2:9" x14ac:dyDescent="0.2">
      <c r="B78" s="15" t="s">
        <v>36</v>
      </c>
      <c r="C78" s="15">
        <v>1.26</v>
      </c>
      <c r="D78" s="15">
        <v>1.54</v>
      </c>
      <c r="E78" s="15">
        <v>4.63</v>
      </c>
      <c r="F78" s="15">
        <v>5.1100000000000003</v>
      </c>
      <c r="G78" s="15">
        <v>11.4</v>
      </c>
      <c r="H78" s="15">
        <v>10.86</v>
      </c>
      <c r="I78" s="88"/>
    </row>
  </sheetData>
  <mergeCells count="27">
    <mergeCell ref="B58:B59"/>
    <mergeCell ref="D58:H59"/>
    <mergeCell ref="B3:H3"/>
    <mergeCell ref="B12:H12"/>
    <mergeCell ref="B26:H26"/>
    <mergeCell ref="B21:H21"/>
    <mergeCell ref="B47:H47"/>
    <mergeCell ref="B55:H55"/>
    <mergeCell ref="B56:B57"/>
    <mergeCell ref="D56:H57"/>
    <mergeCell ref="B33:H33"/>
    <mergeCell ref="B34:H34"/>
    <mergeCell ref="B44:H44"/>
    <mergeCell ref="B39:H39"/>
    <mergeCell ref="E60:H60"/>
    <mergeCell ref="C61:H61"/>
    <mergeCell ref="C62:H62"/>
    <mergeCell ref="B63:H63"/>
    <mergeCell ref="B68:H68"/>
    <mergeCell ref="I64:I78"/>
    <mergeCell ref="I56:I62"/>
    <mergeCell ref="I48:I54"/>
    <mergeCell ref="I27:I46"/>
    <mergeCell ref="I4:I10"/>
    <mergeCell ref="I13:I14"/>
    <mergeCell ref="I22:I25"/>
    <mergeCell ref="I16:I20"/>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90" zoomScaleNormal="90" workbookViewId="0">
      <selection activeCell="K41" sqref="K41"/>
    </sheetView>
  </sheetViews>
  <sheetFormatPr baseColWidth="10" defaultColWidth="12.5" defaultRowHeight="16" x14ac:dyDescent="0.2"/>
  <cols>
    <col min="1" max="10" width="12.5" style="26"/>
    <col min="11" max="11" width="20.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156</v>
      </c>
      <c r="L5" s="27" t="s">
        <v>157</v>
      </c>
      <c r="M5" s="27" t="s">
        <v>50</v>
      </c>
      <c r="N5" s="27" t="s">
        <v>51</v>
      </c>
      <c r="O5" s="27" t="s">
        <v>52</v>
      </c>
      <c r="P5" s="27" t="s">
        <v>53</v>
      </c>
    </row>
    <row r="6" spans="11:16" x14ac:dyDescent="0.2">
      <c r="K6" s="26" t="s">
        <v>144</v>
      </c>
      <c r="L6" s="27" t="s">
        <v>145</v>
      </c>
      <c r="M6" s="28">
        <v>4.321199577936561E-2</v>
      </c>
      <c r="N6" s="28">
        <v>3.6387734810022998E-2</v>
      </c>
      <c r="O6" s="28">
        <v>2.0070599778316559E-2</v>
      </c>
      <c r="P6" s="28">
        <v>1.7798234948509826E-2</v>
      </c>
    </row>
    <row r="7" spans="11:16" x14ac:dyDescent="0.2">
      <c r="K7" s="26" t="s">
        <v>146</v>
      </c>
      <c r="L7" s="27" t="s">
        <v>147</v>
      </c>
      <c r="M7" s="28">
        <v>4.2329257225562467E-2</v>
      </c>
      <c r="N7" s="28">
        <v>4.4636780737949994E-2</v>
      </c>
      <c r="O7" s="28">
        <v>3.6991694274753913E-2</v>
      </c>
      <c r="P7" s="28">
        <v>2.4694548368630526E-2</v>
      </c>
    </row>
    <row r="8" spans="11:16" x14ac:dyDescent="0.2">
      <c r="K8" s="26" t="s">
        <v>148</v>
      </c>
      <c r="L8" s="27" t="s">
        <v>147</v>
      </c>
      <c r="M8" s="28">
        <v>0.10699718974372603</v>
      </c>
      <c r="N8" s="28">
        <v>6.5871184329614613E-2</v>
      </c>
      <c r="O8" s="28">
        <v>3.0163575084952359E-2</v>
      </c>
      <c r="P8" s="28">
        <v>2.1794092876482856E-3</v>
      </c>
    </row>
    <row r="9" spans="11:16" x14ac:dyDescent="0.2">
      <c r="K9" s="26" t="s">
        <v>149</v>
      </c>
      <c r="L9" s="27" t="s">
        <v>150</v>
      </c>
      <c r="M9" s="28">
        <v>6.7677328466173317E-2</v>
      </c>
      <c r="N9" s="28">
        <v>5.7585518231114477E-2</v>
      </c>
      <c r="O9" s="28">
        <v>3.4547196647557121E-2</v>
      </c>
      <c r="P9" s="28">
        <v>7.4240498269105603E-3</v>
      </c>
    </row>
    <row r="10" spans="11:16" x14ac:dyDescent="0.2">
      <c r="K10" s="26" t="s">
        <v>151</v>
      </c>
      <c r="L10" s="27" t="s">
        <v>152</v>
      </c>
      <c r="M10" s="28">
        <v>0.15332365253896416</v>
      </c>
      <c r="N10" s="28">
        <v>0.14211236193881485</v>
      </c>
      <c r="O10" s="28">
        <v>0.1300441334632115</v>
      </c>
      <c r="P10" s="28">
        <v>9.9811377982015628E-2</v>
      </c>
    </row>
    <row r="11" spans="11:16" ht="16" customHeight="1" x14ac:dyDescent="0.2">
      <c r="K11" s="26" t="s">
        <v>153</v>
      </c>
      <c r="L11" s="27" t="s">
        <v>67</v>
      </c>
      <c r="M11" s="28">
        <v>0.36028783063541181</v>
      </c>
      <c r="N11" s="28">
        <v>0.35258252683498492</v>
      </c>
      <c r="O11" s="28">
        <v>0.3249240329328747</v>
      </c>
      <c r="P11" s="28">
        <v>0.30986523757109552</v>
      </c>
    </row>
    <row r="12" spans="11:16" ht="16" customHeight="1" x14ac:dyDescent="0.2">
      <c r="K12" s="26" t="s">
        <v>154</v>
      </c>
      <c r="L12" s="27" t="s">
        <v>68</v>
      </c>
      <c r="M12" s="28">
        <v>0.22617274561079651</v>
      </c>
      <c r="N12" s="28">
        <v>0.30082389311749813</v>
      </c>
      <c r="O12" s="28">
        <v>0.42325876781833377</v>
      </c>
      <c r="P12" s="28">
        <v>0.53822714201518951</v>
      </c>
    </row>
    <row r="15" spans="11:16" x14ac:dyDescent="0.2">
      <c r="L15" s="27" t="s">
        <v>155</v>
      </c>
      <c r="M15" s="27" t="s">
        <v>50</v>
      </c>
      <c r="N15" s="27" t="s">
        <v>51</v>
      </c>
      <c r="O15" s="27" t="s">
        <v>52</v>
      </c>
      <c r="P15" s="27" t="s">
        <v>53</v>
      </c>
    </row>
    <row r="16" spans="11:16" x14ac:dyDescent="0.2">
      <c r="L16" s="27" t="s">
        <v>145</v>
      </c>
      <c r="M16" s="28">
        <v>1.452008162960407E-3</v>
      </c>
      <c r="N16" s="28">
        <v>7.3890280749442793E-4</v>
      </c>
      <c r="O16" s="28">
        <v>8.1329800487500909E-4</v>
      </c>
      <c r="P16" s="28">
        <v>3.3752394696415617E-3</v>
      </c>
    </row>
    <row r="17" spans="12:16" x14ac:dyDescent="0.2">
      <c r="L17" s="27" t="s">
        <v>147</v>
      </c>
      <c r="M17" s="28">
        <v>3.6399933731031862E-3</v>
      </c>
      <c r="N17" s="28">
        <v>1.32359954754977E-3</v>
      </c>
      <c r="O17" s="28">
        <v>3.8215538618423866E-3</v>
      </c>
      <c r="P17" s="28">
        <v>2.2123069970848654E-3</v>
      </c>
    </row>
    <row r="18" spans="12:16" x14ac:dyDescent="0.2">
      <c r="L18" s="27" t="s">
        <v>147</v>
      </c>
      <c r="M18" s="28">
        <v>3.4369818044473206E-2</v>
      </c>
      <c r="N18" s="28">
        <v>4.725884096319171E-3</v>
      </c>
      <c r="O18" s="28">
        <v>2.8366255764284815E-3</v>
      </c>
      <c r="P18" s="28">
        <v>3.2976936043493065E-4</v>
      </c>
    </row>
    <row r="19" spans="12:16" x14ac:dyDescent="0.2">
      <c r="L19" s="27" t="s">
        <v>150</v>
      </c>
      <c r="M19" s="28">
        <v>6.4134346735433378E-4</v>
      </c>
      <c r="N19" s="28">
        <v>4.44949241933013E-4</v>
      </c>
      <c r="O19" s="28">
        <v>1.4903963010309616E-3</v>
      </c>
      <c r="P19" s="28">
        <v>1.9634220262432674E-3</v>
      </c>
    </row>
    <row r="20" spans="12:16" x14ac:dyDescent="0.2">
      <c r="L20" s="27" t="s">
        <v>152</v>
      </c>
      <c r="M20" s="28">
        <v>4.2218260434022901E-2</v>
      </c>
      <c r="N20" s="28">
        <v>4.3619769626533174E-3</v>
      </c>
      <c r="O20" s="28">
        <v>4.8679067158982174E-3</v>
      </c>
      <c r="P20" s="28">
        <v>1.5722680239762876E-2</v>
      </c>
    </row>
    <row r="21" spans="12:16" x14ac:dyDescent="0.2">
      <c r="L21" s="27" t="s">
        <v>67</v>
      </c>
      <c r="M21" s="28">
        <v>2.7555996511292324E-2</v>
      </c>
      <c r="N21" s="28">
        <v>5.1746708639145347E-3</v>
      </c>
      <c r="O21" s="28">
        <v>7.3795602804227027E-3</v>
      </c>
      <c r="P21" s="28">
        <v>5.4432833074832605E-2</v>
      </c>
    </row>
    <row r="22" spans="12:16" x14ac:dyDescent="0.2">
      <c r="L22" s="27" t="s">
        <v>68</v>
      </c>
      <c r="M22" s="28">
        <v>4.460973667386943E-2</v>
      </c>
      <c r="N22" s="28">
        <v>5.5307433081690401E-3</v>
      </c>
      <c r="O22" s="28">
        <v>5.8422164928758347E-3</v>
      </c>
      <c r="P22" s="28">
        <v>7.7360877544426734E-2</v>
      </c>
    </row>
    <row r="24" spans="12:16" x14ac:dyDescent="0.2">
      <c r="M24" s="29"/>
      <c r="N24" s="29"/>
      <c r="O24" s="29"/>
      <c r="P24" s="29"/>
    </row>
    <row r="25" spans="12:16" x14ac:dyDescent="0.2">
      <c r="L25" s="98" t="s">
        <v>63</v>
      </c>
      <c r="M25" s="98"/>
      <c r="N25" s="6"/>
      <c r="O25" s="32"/>
      <c r="P25" s="32"/>
    </row>
    <row r="26" spans="12:16" x14ac:dyDescent="0.2">
      <c r="L26" s="27" t="s">
        <v>64</v>
      </c>
      <c r="M26" s="28">
        <f>1-M28-M29-M30-M27</f>
        <v>4.7709923664134013E-4</v>
      </c>
      <c r="N26" s="4"/>
      <c r="O26" s="32"/>
      <c r="P26" s="32"/>
    </row>
    <row r="27" spans="12:16" x14ac:dyDescent="0.2">
      <c r="L27" s="27" t="s">
        <v>65</v>
      </c>
      <c r="M27" s="28">
        <f>1.51/20.96</f>
        <v>7.2041984732824429E-2</v>
      </c>
      <c r="N27" s="4"/>
      <c r="O27" s="32"/>
      <c r="P27" s="32"/>
    </row>
    <row r="28" spans="12:16" x14ac:dyDescent="0.2">
      <c r="L28" s="27" t="s">
        <v>66</v>
      </c>
      <c r="M28" s="28">
        <f>7.43/20.96</f>
        <v>0.35448473282442744</v>
      </c>
      <c r="N28" s="4"/>
      <c r="O28" s="32"/>
      <c r="P28" s="32"/>
    </row>
    <row r="29" spans="12:16" x14ac:dyDescent="0.2">
      <c r="L29" s="27" t="s">
        <v>67</v>
      </c>
      <c r="M29" s="28">
        <f>9.06/20.96</f>
        <v>0.43225190839694655</v>
      </c>
      <c r="N29" s="4"/>
      <c r="O29" s="32"/>
      <c r="P29" s="32"/>
    </row>
    <row r="30" spans="12:16" x14ac:dyDescent="0.2">
      <c r="L30" s="27" t="s">
        <v>68</v>
      </c>
      <c r="M30" s="28">
        <f>2.95/20.96</f>
        <v>0.1407442748091603</v>
      </c>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96" t="s">
        <v>158</v>
      </c>
      <c r="B35" s="96"/>
      <c r="C35" s="96"/>
      <c r="D35" s="96"/>
      <c r="E35" s="96"/>
      <c r="F35" s="96"/>
      <c r="G35" s="96"/>
      <c r="H35" s="96"/>
      <c r="I35" s="96"/>
      <c r="J35" s="96"/>
      <c r="L35" s="29"/>
      <c r="M35" s="32"/>
      <c r="N35" s="32"/>
      <c r="O35" s="32"/>
      <c r="P35" s="32"/>
    </row>
    <row r="36" spans="1:16" x14ac:dyDescent="0.2">
      <c r="A36" s="96"/>
      <c r="B36" s="96"/>
      <c r="C36" s="96"/>
      <c r="D36" s="96"/>
      <c r="E36" s="96"/>
      <c r="F36" s="96"/>
      <c r="G36" s="96"/>
      <c r="H36" s="96"/>
      <c r="I36" s="96"/>
      <c r="J36" s="96"/>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zoomScale="90" zoomScaleNormal="90" workbookViewId="0">
      <selection activeCell="U5" sqref="U5"/>
    </sheetView>
  </sheetViews>
  <sheetFormatPr baseColWidth="10"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99" t="s">
        <v>143</v>
      </c>
      <c r="R4" s="99"/>
      <c r="S4" s="99"/>
      <c r="T4" s="99"/>
      <c r="U4" s="99"/>
    </row>
    <row r="5" spans="1:21" ht="18" x14ac:dyDescent="0.2">
      <c r="Q5" s="23" t="s">
        <v>142</v>
      </c>
      <c r="R5" s="23" t="s">
        <v>141</v>
      </c>
      <c r="S5" s="23" t="s">
        <v>140</v>
      </c>
      <c r="T5" s="23" t="s">
        <v>139</v>
      </c>
      <c r="U5" s="23" t="s">
        <v>138</v>
      </c>
    </row>
    <row r="6" spans="1:21" x14ac:dyDescent="0.2">
      <c r="Q6" s="4" t="s">
        <v>137</v>
      </c>
      <c r="R6" s="4" t="s">
        <v>136</v>
      </c>
      <c r="T6" s="4">
        <v>122.12</v>
      </c>
    </row>
    <row r="7" spans="1:21" x14ac:dyDescent="0.2">
      <c r="Q7" s="4" t="s">
        <v>64</v>
      </c>
      <c r="R7" s="4" t="s">
        <v>135</v>
      </c>
      <c r="S7" s="4" t="s">
        <v>134</v>
      </c>
      <c r="T7" s="4">
        <v>166.14</v>
      </c>
      <c r="U7" s="4">
        <v>23.553999999999998</v>
      </c>
    </row>
    <row r="8" spans="1:21" x14ac:dyDescent="0.2">
      <c r="Q8" s="4" t="s">
        <v>64</v>
      </c>
      <c r="R8" s="4" t="s">
        <v>133</v>
      </c>
      <c r="S8" s="4" t="s">
        <v>132</v>
      </c>
      <c r="T8" s="4">
        <v>166.14</v>
      </c>
    </row>
    <row r="9" spans="1:21" x14ac:dyDescent="0.2">
      <c r="Q9" s="15" t="s">
        <v>64</v>
      </c>
      <c r="R9" s="15" t="s">
        <v>131</v>
      </c>
      <c r="S9" s="15" t="s">
        <v>130</v>
      </c>
      <c r="T9" s="15">
        <v>166.14</v>
      </c>
      <c r="U9" s="15"/>
    </row>
    <row r="10" spans="1:21" x14ac:dyDescent="0.2">
      <c r="Q10" s="4" t="s">
        <v>65</v>
      </c>
      <c r="R10" s="4" t="s">
        <v>129</v>
      </c>
      <c r="S10" s="4" t="s">
        <v>128</v>
      </c>
      <c r="T10" s="4">
        <v>210.14</v>
      </c>
      <c r="U10" s="4">
        <v>21.122</v>
      </c>
    </row>
    <row r="11" spans="1:21" x14ac:dyDescent="0.2">
      <c r="Q11" s="4" t="s">
        <v>65</v>
      </c>
      <c r="R11" s="4" t="s">
        <v>127</v>
      </c>
      <c r="S11" s="4" t="s">
        <v>126</v>
      </c>
      <c r="T11" s="4">
        <v>210.14</v>
      </c>
      <c r="U11" s="4">
        <v>19.847999999999999</v>
      </c>
    </row>
    <row r="12" spans="1:21" x14ac:dyDescent="0.2">
      <c r="Q12" s="15" t="s">
        <v>65</v>
      </c>
      <c r="R12" s="15" t="s">
        <v>125</v>
      </c>
      <c r="S12" s="15" t="s">
        <v>124</v>
      </c>
      <c r="T12" s="15">
        <v>210.14</v>
      </c>
      <c r="U12" s="24"/>
    </row>
    <row r="13" spans="1:21" x14ac:dyDescent="0.2">
      <c r="Q13" s="4" t="s">
        <v>66</v>
      </c>
      <c r="R13" s="4" t="s">
        <v>123</v>
      </c>
      <c r="S13" s="4" t="s">
        <v>122</v>
      </c>
      <c r="T13" s="4">
        <v>254.15</v>
      </c>
      <c r="U13" s="25">
        <v>18.376000000000001</v>
      </c>
    </row>
    <row r="14" spans="1:21" x14ac:dyDescent="0.2">
      <c r="Q14" s="4" t="s">
        <v>66</v>
      </c>
      <c r="R14" s="4" t="s">
        <v>121</v>
      </c>
      <c r="S14" s="4" t="s">
        <v>120</v>
      </c>
      <c r="T14" s="4">
        <v>254.15</v>
      </c>
      <c r="U14" s="25">
        <v>17.099</v>
      </c>
    </row>
    <row r="15" spans="1:21" x14ac:dyDescent="0.2">
      <c r="Q15" s="15" t="s">
        <v>66</v>
      </c>
      <c r="R15" s="15" t="s">
        <v>119</v>
      </c>
      <c r="S15" s="15" t="s">
        <v>118</v>
      </c>
      <c r="T15" s="15">
        <v>254.15</v>
      </c>
      <c r="U15" s="15">
        <v>15.86</v>
      </c>
    </row>
    <row r="16" spans="1:21" x14ac:dyDescent="0.2">
      <c r="A16" s="92" t="s">
        <v>85</v>
      </c>
      <c r="B16" s="92"/>
      <c r="C16" s="92"/>
      <c r="D16" s="92"/>
      <c r="E16" s="92"/>
      <c r="F16" s="92"/>
      <c r="G16" s="92"/>
      <c r="H16" s="92" t="s">
        <v>88</v>
      </c>
      <c r="I16" s="92"/>
      <c r="J16" s="92"/>
      <c r="K16" s="92"/>
      <c r="L16" s="92"/>
      <c r="M16" s="92"/>
      <c r="Q16" s="4" t="s">
        <v>67</v>
      </c>
      <c r="R16" s="4" t="s">
        <v>117</v>
      </c>
      <c r="T16" s="4">
        <v>298.16000000000003</v>
      </c>
      <c r="U16" s="4">
        <v>13.733000000000001</v>
      </c>
    </row>
    <row r="17" spans="1:29" x14ac:dyDescent="0.2">
      <c r="Q17" s="15" t="s">
        <v>68</v>
      </c>
      <c r="R17" s="15" t="s">
        <v>116</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92" t="s">
        <v>86</v>
      </c>
      <c r="B32" s="92"/>
      <c r="C32" s="92"/>
      <c r="D32" s="92"/>
      <c r="E32" s="92"/>
      <c r="F32" s="92"/>
      <c r="G32" s="92"/>
      <c r="H32" s="92" t="s">
        <v>87</v>
      </c>
      <c r="I32" s="92"/>
      <c r="J32" s="92"/>
      <c r="K32" s="92"/>
      <c r="L32" s="92"/>
      <c r="M32" s="92"/>
      <c r="Q32" s="26"/>
      <c r="R32" s="30"/>
      <c r="S32" s="31"/>
      <c r="T32" s="31"/>
      <c r="U32" s="31"/>
      <c r="V32" s="31"/>
      <c r="W32" s="26"/>
      <c r="X32" s="26"/>
      <c r="Y32" s="26"/>
      <c r="Z32" s="26"/>
      <c r="AA32" s="26"/>
      <c r="AB32" s="26"/>
      <c r="AC32" s="26"/>
    </row>
    <row r="33" spans="1:29" x14ac:dyDescent="0.2">
      <c r="A33" s="96" t="s">
        <v>159</v>
      </c>
      <c r="B33" s="96"/>
      <c r="C33" s="96"/>
      <c r="D33" s="96"/>
      <c r="E33" s="96"/>
      <c r="F33" s="96"/>
      <c r="G33" s="96"/>
      <c r="H33" s="96"/>
      <c r="I33" s="96"/>
      <c r="J33" s="96"/>
      <c r="K33" s="96"/>
      <c r="L33" s="96"/>
      <c r="M33" s="96"/>
      <c r="Q33" s="26"/>
      <c r="R33" s="30"/>
      <c r="S33" s="31"/>
      <c r="T33" s="31"/>
      <c r="U33" s="31"/>
      <c r="V33" s="31"/>
      <c r="W33" s="26"/>
      <c r="X33" s="26"/>
      <c r="Y33" s="26"/>
      <c r="Z33" s="26"/>
      <c r="AA33" s="26"/>
      <c r="AB33" s="26"/>
      <c r="AC33" s="26"/>
    </row>
    <row r="34" spans="1:29" x14ac:dyDescent="0.2">
      <c r="A34" s="96"/>
      <c r="B34" s="96"/>
      <c r="C34" s="96"/>
      <c r="D34" s="96"/>
      <c r="E34" s="96"/>
      <c r="F34" s="96"/>
      <c r="G34" s="96"/>
      <c r="H34" s="96"/>
      <c r="I34" s="96"/>
      <c r="J34" s="96"/>
      <c r="K34" s="96"/>
      <c r="L34" s="96"/>
      <c r="M34" s="96"/>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8BABA8-7780-4B44-B1BE-3213608174BD}">
  <dimension ref="B1:AC73"/>
  <sheetViews>
    <sheetView zoomScale="90" zoomScaleNormal="90" workbookViewId="0">
      <selection activeCell="F22" sqref="F22"/>
    </sheetView>
  </sheetViews>
  <sheetFormatPr baseColWidth="10" defaultRowHeight="13" x14ac:dyDescent="0.15"/>
  <cols>
    <col min="1" max="1" width="8.1640625" style="52" customWidth="1"/>
    <col min="2" max="2" width="14.33203125" style="37" bestFit="1" customWidth="1"/>
    <col min="3" max="7" width="10.83203125" style="37"/>
    <col min="8" max="8" width="8.83203125" style="37" bestFit="1" customWidth="1"/>
    <col min="9" max="27" width="10.83203125" style="52"/>
    <col min="28" max="28" width="10.83203125" style="52" hidden="1" customWidth="1"/>
    <col min="29" max="29" width="13.83203125" style="52" hidden="1" customWidth="1"/>
    <col min="30" max="16384" width="10.83203125" style="52"/>
  </cols>
  <sheetData>
    <row r="1" spans="2:29" x14ac:dyDescent="0.15">
      <c r="B1" s="52"/>
      <c r="C1" s="52"/>
      <c r="D1" s="53"/>
      <c r="E1" s="53"/>
      <c r="F1" s="52"/>
      <c r="G1" s="52"/>
      <c r="H1" s="52"/>
    </row>
    <row r="2" spans="2:29" x14ac:dyDescent="0.15">
      <c r="B2" s="100" t="s">
        <v>171</v>
      </c>
      <c r="C2" s="100"/>
      <c r="D2" s="100"/>
      <c r="E2" s="100"/>
      <c r="F2" s="100"/>
      <c r="G2" s="100"/>
      <c r="H2" s="100"/>
      <c r="R2" s="37"/>
      <c r="S2" s="51" t="s">
        <v>172</v>
      </c>
      <c r="T2" s="51" t="s">
        <v>173</v>
      </c>
      <c r="U2" s="51" t="s">
        <v>174</v>
      </c>
      <c r="V2" s="51" t="s">
        <v>175</v>
      </c>
      <c r="W2" s="51" t="s">
        <v>56</v>
      </c>
      <c r="X2" s="51" t="s">
        <v>176</v>
      </c>
    </row>
    <row r="3" spans="2:29" ht="14" x14ac:dyDescent="0.15">
      <c r="B3" s="70"/>
      <c r="C3" s="70" t="s">
        <v>172</v>
      </c>
      <c r="D3" s="71" t="s">
        <v>173</v>
      </c>
      <c r="E3" s="71" t="s">
        <v>174</v>
      </c>
      <c r="F3" s="70" t="s">
        <v>175</v>
      </c>
      <c r="G3" s="70" t="s">
        <v>56</v>
      </c>
      <c r="H3" s="70" t="s">
        <v>176</v>
      </c>
      <c r="M3" s="59"/>
      <c r="N3" s="59"/>
      <c r="O3" s="59"/>
      <c r="P3" s="59"/>
      <c r="R3" s="72" t="s">
        <v>50</v>
      </c>
      <c r="S3" s="39">
        <v>74.5</v>
      </c>
      <c r="T3" s="39">
        <v>3.9</v>
      </c>
      <c r="U3" s="39">
        <v>0.08</v>
      </c>
      <c r="V3" s="39">
        <v>21.5</v>
      </c>
      <c r="W3" s="38">
        <f>(T3*$AC$4)/(S3*$AC$5)</f>
        <v>0.62387259722700195</v>
      </c>
      <c r="X3" s="38">
        <f>(V3*$AC$4)/(S3*$AC$7)</f>
        <v>0.21665489999165213</v>
      </c>
      <c r="AB3" s="64" t="s">
        <v>177</v>
      </c>
      <c r="AC3" s="65" t="s">
        <v>178</v>
      </c>
    </row>
    <row r="4" spans="2:29" ht="14" x14ac:dyDescent="0.15">
      <c r="B4" s="37" t="s">
        <v>50</v>
      </c>
      <c r="C4" s="41">
        <f>ABS(S4-S3)/S3*100</f>
        <v>3.0913300835888413</v>
      </c>
      <c r="D4" s="41">
        <f t="shared" ref="D4:H4" si="0">ABS(T4-T3)/T3*100</f>
        <v>2.5948810284110833</v>
      </c>
      <c r="E4" s="41">
        <f t="shared" si="0"/>
        <v>12.533760128038418</v>
      </c>
      <c r="F4" s="41">
        <f t="shared" si="0"/>
        <v>11.136131537135538</v>
      </c>
      <c r="G4" s="41">
        <f t="shared" si="0"/>
        <v>0.4815623726798528</v>
      </c>
      <c r="H4" s="41">
        <f t="shared" si="0"/>
        <v>13.800832338847913</v>
      </c>
      <c r="M4" s="59"/>
      <c r="N4" s="59"/>
      <c r="O4" s="59"/>
      <c r="P4" s="59"/>
      <c r="R4" s="73" t="s">
        <v>179</v>
      </c>
      <c r="S4" s="40">
        <f>76.78*100/99.97</f>
        <v>76.803040912273687</v>
      </c>
      <c r="T4" s="40">
        <f>4*100/99.97</f>
        <v>4.0012003601080322</v>
      </c>
      <c r="U4" s="40">
        <f>0.09*100/99.97</f>
        <v>9.0027008102430736E-2</v>
      </c>
      <c r="V4" s="40">
        <f>19.1*100/99.97</f>
        <v>19.105731719515859</v>
      </c>
      <c r="W4" s="38">
        <f>(T4*$AC$4)/(S4*$AC$5)</f>
        <v>0.62086826154529617</v>
      </c>
      <c r="X4" s="38">
        <f t="shared" ref="X4:X10" si="1">(V4*$AC$4)/(S4*$AC$7)</f>
        <v>0.1867547204899056</v>
      </c>
      <c r="AB4" s="55" t="s">
        <v>172</v>
      </c>
      <c r="AC4" s="52">
        <v>12.010999999999999</v>
      </c>
    </row>
    <row r="5" spans="2:29" x14ac:dyDescent="0.15">
      <c r="B5" s="37" t="s">
        <v>51</v>
      </c>
      <c r="C5" s="41">
        <f>ABS(S6-S5)/S5*100</f>
        <v>0</v>
      </c>
      <c r="D5" s="41">
        <f t="shared" ref="D5:H5" si="2">ABS(T6-T5)/T5*100</f>
        <v>0</v>
      </c>
      <c r="E5" s="41">
        <f t="shared" si="2"/>
        <v>0</v>
      </c>
      <c r="F5" s="41">
        <f t="shared" si="2"/>
        <v>0.6666666666666643</v>
      </c>
      <c r="G5" s="41">
        <f t="shared" si="2"/>
        <v>0</v>
      </c>
      <c r="H5" s="41">
        <f t="shared" si="2"/>
        <v>0.66666666666666108</v>
      </c>
      <c r="M5" s="59"/>
      <c r="N5" s="59"/>
      <c r="O5" s="59"/>
      <c r="P5" s="59"/>
      <c r="R5" s="72" t="s">
        <v>51</v>
      </c>
      <c r="S5" s="39">
        <v>81.5</v>
      </c>
      <c r="T5" s="39">
        <v>3.5</v>
      </c>
      <c r="U5" s="39">
        <v>0.11</v>
      </c>
      <c r="V5" s="39">
        <v>15</v>
      </c>
      <c r="W5" s="38">
        <f t="shared" ref="W5:W10" si="3">(T5*$AC$4)/(S5*$AC$5)</f>
        <v>0.51179732492351981</v>
      </c>
      <c r="X5" s="38">
        <f t="shared" si="1"/>
        <v>0.13817197930698888</v>
      </c>
      <c r="AB5" s="66" t="s">
        <v>173</v>
      </c>
      <c r="AC5" s="52">
        <v>1.0078400000000001</v>
      </c>
    </row>
    <row r="6" spans="2:29" ht="14" x14ac:dyDescent="0.15">
      <c r="B6" s="37" t="s">
        <v>52</v>
      </c>
      <c r="C6" s="41">
        <f>ABS(S8-S7)/S7*100</f>
        <v>1.7995444191343943</v>
      </c>
      <c r="D6" s="41">
        <f t="shared" ref="D6:H6" si="4">ABS(T8-T7)/T7*100</f>
        <v>0</v>
      </c>
      <c r="E6" s="41">
        <f t="shared" si="4"/>
        <v>0</v>
      </c>
      <c r="F6" s="41">
        <f t="shared" si="4"/>
        <v>17.204301075268813</v>
      </c>
      <c r="G6" s="41">
        <f t="shared" si="4"/>
        <v>1.8325214567385804</v>
      </c>
      <c r="H6" s="41">
        <f t="shared" si="4"/>
        <v>19.352095040693566</v>
      </c>
      <c r="M6" s="59"/>
      <c r="N6" s="59"/>
      <c r="O6" s="59"/>
      <c r="P6" s="59"/>
      <c r="R6" s="73" t="s">
        <v>180</v>
      </c>
      <c r="S6" s="40">
        <v>81.5</v>
      </c>
      <c r="T6" s="40">
        <v>3.5</v>
      </c>
      <c r="U6" s="40">
        <v>0.11</v>
      </c>
      <c r="V6" s="40">
        <v>14.9</v>
      </c>
      <c r="W6" s="38">
        <f t="shared" si="3"/>
        <v>0.51179732492351981</v>
      </c>
      <c r="X6" s="38">
        <f t="shared" si="1"/>
        <v>0.13725083277827563</v>
      </c>
      <c r="AB6" s="66" t="s">
        <v>181</v>
      </c>
      <c r="AC6" s="52">
        <v>14.0067</v>
      </c>
    </row>
    <row r="7" spans="2:29" x14ac:dyDescent="0.15">
      <c r="B7" s="37" t="s">
        <v>53</v>
      </c>
      <c r="C7" s="41">
        <f>ABS(S10-S9)/S9*100</f>
        <v>1.2195121951219607</v>
      </c>
      <c r="D7" s="41">
        <f t="shared" ref="D7:H7" si="5">ABS(T10-T9)/T9*100</f>
        <v>0</v>
      </c>
      <c r="E7" s="41">
        <f t="shared" si="5"/>
        <v>2.7777777777777803</v>
      </c>
      <c r="F7" s="41">
        <f t="shared" si="5"/>
        <v>14.666666666666661</v>
      </c>
      <c r="G7" s="41">
        <f t="shared" si="5"/>
        <v>1.234567901234576</v>
      </c>
      <c r="H7" s="41">
        <f t="shared" si="5"/>
        <v>16.082304526748985</v>
      </c>
      <c r="R7" s="72" t="s">
        <v>52</v>
      </c>
      <c r="S7" s="42">
        <v>87.8</v>
      </c>
      <c r="T7" s="42">
        <v>2.7</v>
      </c>
      <c r="U7" s="42">
        <v>0.24</v>
      </c>
      <c r="V7" s="42">
        <v>9.3000000000000007</v>
      </c>
      <c r="W7" s="38">
        <f t="shared" si="3"/>
        <v>0.3664855234279874</v>
      </c>
      <c r="X7" s="38">
        <f t="shared" si="1"/>
        <v>7.9519705175195327E-2</v>
      </c>
      <c r="AB7" s="66" t="s">
        <v>175</v>
      </c>
      <c r="AC7" s="52">
        <v>15.999000000000001</v>
      </c>
    </row>
    <row r="8" spans="2:29" ht="14" x14ac:dyDescent="0.15">
      <c r="B8" s="79" t="s">
        <v>182</v>
      </c>
      <c r="C8" s="78">
        <f>AVERAGE(C4:C7)</f>
        <v>1.5275966744612992</v>
      </c>
      <c r="D8" s="78">
        <f t="shared" ref="D8:H8" si="6">AVERAGE(D4:D7)</f>
        <v>0.64872025710277081</v>
      </c>
      <c r="E8" s="78">
        <f t="shared" si="6"/>
        <v>3.8278844764540496</v>
      </c>
      <c r="F8" s="80">
        <f t="shared" si="6"/>
        <v>10.918441486434418</v>
      </c>
      <c r="G8" s="78">
        <f t="shared" si="6"/>
        <v>0.8871629326632523</v>
      </c>
      <c r="H8" s="80">
        <f t="shared" si="6"/>
        <v>12.475474643239281</v>
      </c>
      <c r="R8" s="73" t="s">
        <v>183</v>
      </c>
      <c r="S8" s="40">
        <v>86.22</v>
      </c>
      <c r="T8" s="40">
        <v>2.7</v>
      </c>
      <c r="U8" s="40">
        <v>0.24</v>
      </c>
      <c r="V8" s="40">
        <v>10.9</v>
      </c>
      <c r="W8" s="38">
        <f t="shared" si="3"/>
        <v>0.37320144928064597</v>
      </c>
      <c r="X8" s="38">
        <f t="shared" si="1"/>
        <v>9.4908434096778446E-2</v>
      </c>
    </row>
    <row r="9" spans="2:29" x14ac:dyDescent="0.15">
      <c r="B9" s="72"/>
      <c r="C9" s="72" t="s">
        <v>41</v>
      </c>
      <c r="D9" s="72" t="s">
        <v>184</v>
      </c>
      <c r="E9" s="72" t="s">
        <v>185</v>
      </c>
      <c r="F9" s="72" t="s">
        <v>186</v>
      </c>
      <c r="G9" s="72" t="s">
        <v>187</v>
      </c>
      <c r="H9" s="72" t="s">
        <v>188</v>
      </c>
      <c r="R9" s="72" t="s">
        <v>53</v>
      </c>
      <c r="S9" s="39">
        <v>90.2</v>
      </c>
      <c r="T9" s="39">
        <v>2</v>
      </c>
      <c r="U9" s="39">
        <v>0.36</v>
      </c>
      <c r="V9" s="39">
        <v>7.5</v>
      </c>
      <c r="W9" s="38">
        <f t="shared" si="3"/>
        <v>0.26424758936501019</v>
      </c>
      <c r="X9" s="38">
        <f t="shared" si="1"/>
        <v>6.2422485108201732E-2</v>
      </c>
    </row>
    <row r="10" spans="2:29" ht="14" x14ac:dyDescent="0.15">
      <c r="B10" s="37" t="s">
        <v>50</v>
      </c>
      <c r="C10" s="41">
        <f>ABS(S22-S23)/S22*100</f>
        <v>0.53697827678790566</v>
      </c>
      <c r="D10" s="41">
        <f t="shared" ref="D10:H10" si="7">ABS(T22-T23)/T22*100</f>
        <v>3.734439834024883</v>
      </c>
      <c r="E10" s="41">
        <f t="shared" si="7"/>
        <v>3.734439834024883</v>
      </c>
      <c r="F10" s="41">
        <f t="shared" si="7"/>
        <v>3.734439834024883</v>
      </c>
      <c r="G10" s="41">
        <f t="shared" si="7"/>
        <v>1.1471808640468595</v>
      </c>
      <c r="H10" s="41">
        <f t="shared" si="7"/>
        <v>1.452282157676356</v>
      </c>
      <c r="R10" s="73" t="s">
        <v>189</v>
      </c>
      <c r="S10" s="40">
        <v>89.1</v>
      </c>
      <c r="T10" s="40">
        <v>2</v>
      </c>
      <c r="U10" s="40">
        <v>0.37</v>
      </c>
      <c r="V10" s="40">
        <v>8.6</v>
      </c>
      <c r="W10" s="38">
        <f t="shared" si="3"/>
        <v>0.26750990528309676</v>
      </c>
      <c r="X10" s="38">
        <f t="shared" si="1"/>
        <v>7.246145925646727E-2</v>
      </c>
    </row>
    <row r="11" spans="2:29" x14ac:dyDescent="0.15">
      <c r="B11" s="37" t="s">
        <v>51</v>
      </c>
      <c r="C11" s="41">
        <f>ABS(S24-S25)/S24*100</f>
        <v>0.73532213205317121</v>
      </c>
      <c r="D11" s="41">
        <f t="shared" ref="D11:H11" si="8">ABS(T24-T25)/T24*100</f>
        <v>6.3545150501672216</v>
      </c>
      <c r="E11" s="41">
        <f t="shared" si="8"/>
        <v>6.7599067599067499</v>
      </c>
      <c r="F11" s="41">
        <f t="shared" si="8"/>
        <v>7.4421513445903713</v>
      </c>
      <c r="G11" s="41">
        <f t="shared" si="8"/>
        <v>2.5641025641025683</v>
      </c>
      <c r="H11" s="41">
        <f t="shared" si="8"/>
        <v>8.0099841161787939</v>
      </c>
      <c r="R11" s="101" t="s">
        <v>190</v>
      </c>
      <c r="S11" s="101"/>
      <c r="T11" s="101"/>
      <c r="U11" s="101"/>
      <c r="V11" s="101"/>
    </row>
    <row r="12" spans="2:29" x14ac:dyDescent="0.15">
      <c r="B12" s="37" t="s">
        <v>52</v>
      </c>
      <c r="C12" s="41">
        <f>ABS(S26-S27)/S26*100</f>
        <v>0.35054803989336569</v>
      </c>
      <c r="D12" s="41">
        <f t="shared" ref="D12:H12" si="9">ABS(T26-T27)/T26*100</f>
        <v>8.9068825910931118</v>
      </c>
      <c r="E12" s="41">
        <f t="shared" si="9"/>
        <v>8.9068825910931189</v>
      </c>
      <c r="F12" s="41">
        <f t="shared" si="9"/>
        <v>8.9068825910931153</v>
      </c>
      <c r="G12" s="41">
        <v>0</v>
      </c>
      <c r="H12" s="41">
        <f t="shared" si="9"/>
        <v>9.8901098901098923</v>
      </c>
      <c r="R12" s="72" t="s">
        <v>50</v>
      </c>
      <c r="S12" s="41">
        <v>0.28000000000000003</v>
      </c>
      <c r="T12" s="41">
        <v>0.02</v>
      </c>
      <c r="U12" s="41">
        <v>0.01</v>
      </c>
      <c r="V12" s="41">
        <v>0.18</v>
      </c>
    </row>
    <row r="13" spans="2:29" x14ac:dyDescent="0.15">
      <c r="B13" s="37" t="s">
        <v>53</v>
      </c>
      <c r="C13" s="41">
        <f>ABS(S28-S29)/S28*100</f>
        <v>0.15206334224739765</v>
      </c>
      <c r="D13" s="41">
        <f t="shared" ref="D13:H13" si="10">ABS(T28-T29)/T28*100</f>
        <v>13.087934560327197</v>
      </c>
      <c r="E13" s="41">
        <f t="shared" si="10"/>
        <v>13.087934560327197</v>
      </c>
      <c r="F13" s="41">
        <f t="shared" si="10"/>
        <v>12.065439672801634</v>
      </c>
      <c r="G13" s="41">
        <v>0</v>
      </c>
      <c r="H13" s="41">
        <f t="shared" si="10"/>
        <v>7.7552304546169664</v>
      </c>
      <c r="R13" s="73"/>
      <c r="S13" s="37"/>
      <c r="T13" s="37"/>
      <c r="U13" s="37"/>
      <c r="V13" s="37"/>
    </row>
    <row r="14" spans="2:29" x14ac:dyDescent="0.15">
      <c r="B14" s="79" t="s">
        <v>182</v>
      </c>
      <c r="C14" s="78">
        <f t="shared" ref="C14:H14" si="11">AVERAGE(C10:C13)</f>
        <v>0.44372794774546009</v>
      </c>
      <c r="D14" s="78">
        <f t="shared" si="11"/>
        <v>8.0209430089031031</v>
      </c>
      <c r="E14" s="78">
        <f t="shared" si="11"/>
        <v>8.122290936337988</v>
      </c>
      <c r="F14" s="78">
        <f t="shared" si="11"/>
        <v>8.0372283606275019</v>
      </c>
      <c r="G14" s="78">
        <f t="shared" si="11"/>
        <v>0.92782085703735695</v>
      </c>
      <c r="H14" s="78">
        <f t="shared" si="11"/>
        <v>6.7769016546455019</v>
      </c>
      <c r="I14" s="61"/>
      <c r="J14" s="61"/>
      <c r="R14" s="72" t="s">
        <v>51</v>
      </c>
      <c r="S14" s="41">
        <v>0.17</v>
      </c>
      <c r="T14" s="41">
        <v>0.06</v>
      </c>
      <c r="U14" s="41">
        <v>0.02</v>
      </c>
      <c r="V14" s="41">
        <v>0.13</v>
      </c>
      <c r="W14" s="67"/>
      <c r="X14" s="67"/>
    </row>
    <row r="15" spans="2:29" x14ac:dyDescent="0.15">
      <c r="B15" s="54"/>
      <c r="C15" s="54"/>
      <c r="D15" s="54"/>
      <c r="E15" s="54"/>
      <c r="F15" s="54"/>
      <c r="G15" s="54"/>
      <c r="H15" s="54"/>
      <c r="R15" s="74"/>
      <c r="S15" s="37"/>
      <c r="T15" s="37"/>
      <c r="U15" s="37"/>
      <c r="V15" s="37"/>
      <c r="W15" s="68"/>
      <c r="X15" s="68"/>
    </row>
    <row r="16" spans="2:29" x14ac:dyDescent="0.15">
      <c r="B16" s="70"/>
      <c r="C16" s="70" t="s">
        <v>191</v>
      </c>
      <c r="D16" s="70" t="s">
        <v>192</v>
      </c>
      <c r="E16" s="52"/>
      <c r="F16" s="55"/>
      <c r="G16" s="52"/>
      <c r="H16" s="52"/>
      <c r="R16" s="72" t="s">
        <v>52</v>
      </c>
      <c r="S16" s="41">
        <v>0.37</v>
      </c>
      <c r="T16" s="41">
        <v>0.02</v>
      </c>
      <c r="U16" s="41">
        <v>0.01</v>
      </c>
      <c r="V16" s="41">
        <v>0.4</v>
      </c>
      <c r="W16" s="68"/>
      <c r="X16" s="68"/>
    </row>
    <row r="17" spans="2:24" x14ac:dyDescent="0.15">
      <c r="B17" s="37" t="s">
        <v>50</v>
      </c>
      <c r="C17" s="43">
        <f>6888+4330+7+1285</f>
        <v>12510</v>
      </c>
      <c r="D17" s="84">
        <v>107752</v>
      </c>
      <c r="E17" s="56"/>
      <c r="F17" s="57"/>
      <c r="G17" s="52"/>
      <c r="H17" s="52"/>
      <c r="R17" s="74"/>
      <c r="S17" s="37"/>
      <c r="T17" s="37"/>
      <c r="U17" s="37"/>
      <c r="V17" s="37"/>
      <c r="W17" s="67"/>
      <c r="X17" s="67"/>
    </row>
    <row r="18" spans="2:24" x14ac:dyDescent="0.15">
      <c r="B18" s="37" t="s">
        <v>51</v>
      </c>
      <c r="C18" s="43">
        <f>7198+3646+9+984</f>
        <v>11837</v>
      </c>
      <c r="D18" s="85">
        <f>7198*AC4+3646*AC5+9*AC6+984*AC7</f>
        <v>105998.83894</v>
      </c>
      <c r="E18" s="58"/>
      <c r="F18" s="57"/>
      <c r="G18" s="52"/>
      <c r="H18" s="52"/>
      <c r="R18" s="72" t="s">
        <v>53</v>
      </c>
      <c r="S18" s="41">
        <v>0.11</v>
      </c>
      <c r="T18" s="41">
        <v>0.02</v>
      </c>
      <c r="U18" s="41">
        <v>0.01</v>
      </c>
      <c r="V18" s="41">
        <v>0.12</v>
      </c>
    </row>
    <row r="19" spans="2:24" x14ac:dyDescent="0.15">
      <c r="B19" s="37" t="s">
        <v>52</v>
      </c>
      <c r="C19" s="43">
        <f>7763+2851+19+735</f>
        <v>11368</v>
      </c>
      <c r="D19" s="85">
        <f>7763*AC4+2851*AC5+19*AC6+735*AC7</f>
        <v>108140.13713999999</v>
      </c>
      <c r="E19" s="58"/>
      <c r="F19" s="57"/>
      <c r="G19" s="52"/>
      <c r="H19" s="52"/>
      <c r="R19" s="73"/>
      <c r="S19" s="37"/>
      <c r="T19" s="37"/>
      <c r="U19" s="37"/>
      <c r="V19" s="37"/>
    </row>
    <row r="20" spans="2:24" x14ac:dyDescent="0.15">
      <c r="B20" s="37" t="s">
        <v>53</v>
      </c>
      <c r="C20" s="43">
        <f>7898+2133+28+570</f>
        <v>10629</v>
      </c>
      <c r="D20" s="85">
        <f>7898*AC4+2133*AC5+28*AC6+570*AC7</f>
        <v>106524.21832000001</v>
      </c>
      <c r="E20" s="58"/>
      <c r="F20" s="57"/>
      <c r="G20" s="52"/>
      <c r="H20" s="52"/>
    </row>
    <row r="21" spans="2:24" x14ac:dyDescent="0.15">
      <c r="B21" s="52"/>
      <c r="C21" s="52"/>
      <c r="D21" s="63"/>
      <c r="E21" s="52"/>
      <c r="F21" s="52"/>
      <c r="G21" s="52"/>
      <c r="H21" s="52"/>
      <c r="R21" s="37"/>
      <c r="S21" s="51" t="s">
        <v>41</v>
      </c>
      <c r="T21" s="51" t="s">
        <v>37</v>
      </c>
      <c r="U21" s="51" t="s">
        <v>193</v>
      </c>
      <c r="V21" s="51" t="s">
        <v>39</v>
      </c>
      <c r="W21" s="51" t="s">
        <v>42</v>
      </c>
      <c r="X21" s="51" t="s">
        <v>40</v>
      </c>
    </row>
    <row r="22" spans="2:24" x14ac:dyDescent="0.15">
      <c r="B22" s="52"/>
      <c r="C22" s="52"/>
      <c r="D22" s="52"/>
      <c r="E22" s="52"/>
      <c r="F22" s="52"/>
      <c r="G22" s="52"/>
      <c r="H22" s="52"/>
      <c r="R22" s="75" t="s">
        <v>50</v>
      </c>
      <c r="S22" s="45">
        <v>51</v>
      </c>
      <c r="T22" s="45">
        <v>3</v>
      </c>
      <c r="U22" s="45">
        <v>5</v>
      </c>
      <c r="V22" s="45">
        <v>10</v>
      </c>
      <c r="W22" s="45">
        <v>17</v>
      </c>
      <c r="X22" s="45">
        <v>14</v>
      </c>
    </row>
    <row r="23" spans="2:24" ht="14" x14ac:dyDescent="0.15">
      <c r="B23" s="52"/>
      <c r="C23" s="52"/>
      <c r="D23" s="52"/>
      <c r="E23" s="52"/>
      <c r="F23" s="52"/>
      <c r="G23" s="52"/>
      <c r="H23" s="52"/>
      <c r="R23" s="76" t="s">
        <v>179</v>
      </c>
      <c r="S23" s="46">
        <f>48.9*100/96.4</f>
        <v>50.726141078838168</v>
      </c>
      <c r="T23" s="46">
        <f>3*100/96.4</f>
        <v>3.1120331950207465</v>
      </c>
      <c r="U23" s="46">
        <f>5*100/96.4</f>
        <v>5.1867219917012441</v>
      </c>
      <c r="V23" s="46">
        <f>10*100/96.4</f>
        <v>10.373443983402488</v>
      </c>
      <c r="W23" s="46">
        <f>16.2*100/96.4</f>
        <v>16.804979253112034</v>
      </c>
      <c r="X23" s="46">
        <f>13.3*100/96.4</f>
        <v>13.79668049792531</v>
      </c>
    </row>
    <row r="24" spans="2:24" x14ac:dyDescent="0.15">
      <c r="B24" s="52"/>
      <c r="C24" s="52"/>
      <c r="D24" s="52"/>
      <c r="E24" s="52"/>
      <c r="F24" s="52"/>
      <c r="G24" s="52"/>
      <c r="H24" s="52"/>
      <c r="K24" s="60"/>
      <c r="R24" s="75" t="s">
        <v>51</v>
      </c>
      <c r="S24" s="45">
        <v>67.3</v>
      </c>
      <c r="T24" s="45">
        <v>2.2999999999999998</v>
      </c>
      <c r="U24" s="45">
        <v>3.3</v>
      </c>
      <c r="V24" s="45">
        <v>12.3</v>
      </c>
      <c r="W24" s="47">
        <v>3.3</v>
      </c>
      <c r="X24" s="47">
        <v>11.3</v>
      </c>
    </row>
    <row r="25" spans="2:24" ht="14" x14ac:dyDescent="0.15">
      <c r="B25" s="52"/>
      <c r="C25" s="52"/>
      <c r="D25" s="52"/>
      <c r="E25" s="52"/>
      <c r="F25" s="52"/>
      <c r="G25" s="52"/>
      <c r="H25" s="52"/>
      <c r="K25" s="60"/>
      <c r="R25" s="76" t="s">
        <v>180</v>
      </c>
      <c r="S25" s="46">
        <f>66.1*100/97.5</f>
        <v>67.794871794871781</v>
      </c>
      <c r="T25" s="46">
        <f>2.1*100/97.5</f>
        <v>2.1538461538461537</v>
      </c>
      <c r="U25" s="46">
        <f>3*100/97.5</f>
        <v>3.0769230769230771</v>
      </c>
      <c r="V25" s="46">
        <f>11.1*100/97.5</f>
        <v>11.384615384615385</v>
      </c>
      <c r="W25" s="46">
        <f>3.3*100/97.5</f>
        <v>3.3846153846153846</v>
      </c>
      <c r="X25" s="46">
        <f>11.9*100/97.5</f>
        <v>12.205128205128204</v>
      </c>
    </row>
    <row r="26" spans="2:24" x14ac:dyDescent="0.15">
      <c r="B26" s="52"/>
      <c r="C26" s="52"/>
      <c r="D26" s="52"/>
      <c r="E26" s="52"/>
      <c r="F26" s="52"/>
      <c r="G26" s="52"/>
      <c r="H26" s="52"/>
      <c r="K26" s="60"/>
      <c r="R26" s="75" t="s">
        <v>52</v>
      </c>
      <c r="S26" s="48">
        <v>82</v>
      </c>
      <c r="T26" s="48">
        <v>1</v>
      </c>
      <c r="U26" s="48">
        <v>3</v>
      </c>
      <c r="V26" s="48">
        <v>7</v>
      </c>
      <c r="W26" s="47">
        <v>0</v>
      </c>
      <c r="X26" s="47">
        <v>7</v>
      </c>
    </row>
    <row r="27" spans="2:24" ht="14" x14ac:dyDescent="0.15">
      <c r="B27" s="52"/>
      <c r="C27" s="52"/>
      <c r="D27" s="52"/>
      <c r="E27" s="52"/>
      <c r="F27" s="52"/>
      <c r="G27" s="52"/>
      <c r="H27" s="52"/>
      <c r="K27" s="60"/>
      <c r="R27" s="76" t="s">
        <v>183</v>
      </c>
      <c r="S27" s="46">
        <f>81.3*100/98.8</f>
        <v>82.28744939271256</v>
      </c>
      <c r="T27" s="46">
        <f>0.9*100/98.8</f>
        <v>0.91093117408906887</v>
      </c>
      <c r="U27" s="46">
        <f>2.7*100/98.8</f>
        <v>2.7327935222672064</v>
      </c>
      <c r="V27" s="46">
        <f>6.3*100/98.8</f>
        <v>6.3765182186234819</v>
      </c>
      <c r="W27" s="46">
        <v>0</v>
      </c>
      <c r="X27" s="46">
        <f>7.6*100/98.8</f>
        <v>7.6923076923076925</v>
      </c>
    </row>
    <row r="28" spans="2:24" x14ac:dyDescent="0.15">
      <c r="B28" s="52"/>
      <c r="C28" s="52"/>
      <c r="D28" s="52"/>
      <c r="E28" s="52"/>
      <c r="F28" s="52"/>
      <c r="G28" s="52"/>
      <c r="H28" s="52"/>
      <c r="K28" s="60"/>
      <c r="R28" s="75" t="s">
        <v>53</v>
      </c>
      <c r="S28" s="45">
        <v>78</v>
      </c>
      <c r="T28" s="45">
        <v>2</v>
      </c>
      <c r="U28" s="45">
        <v>2</v>
      </c>
      <c r="V28" s="45">
        <v>5</v>
      </c>
      <c r="W28" s="47">
        <v>0</v>
      </c>
      <c r="X28" s="47">
        <v>13</v>
      </c>
    </row>
    <row r="29" spans="2:24" ht="14" x14ac:dyDescent="0.15">
      <c r="B29" s="52"/>
      <c r="C29" s="52"/>
      <c r="D29" s="52"/>
      <c r="E29" s="52"/>
      <c r="F29" s="52"/>
      <c r="G29" s="52"/>
      <c r="H29" s="52"/>
      <c r="K29" s="60"/>
      <c r="R29" s="76" t="s">
        <v>189</v>
      </c>
      <c r="S29" s="46">
        <f>76.4*100/97.8</f>
        <v>78.11860940695297</v>
      </c>
      <c r="T29" s="46">
        <f>1.7*100/97.8</f>
        <v>1.7382413087934561</v>
      </c>
      <c r="U29" s="46">
        <f>1.7*100/97.8</f>
        <v>1.7382413087934561</v>
      </c>
      <c r="V29" s="46">
        <f>4.3*100/97.8</f>
        <v>4.3967280163599183</v>
      </c>
      <c r="W29" s="46">
        <v>0</v>
      </c>
      <c r="X29" s="46">
        <f>13.7*100/97.8</f>
        <v>14.008179959100206</v>
      </c>
    </row>
    <row r="30" spans="2:24" x14ac:dyDescent="0.15">
      <c r="B30" s="52"/>
      <c r="C30" s="52"/>
      <c r="D30" s="52"/>
      <c r="E30" s="52"/>
      <c r="F30" s="52"/>
      <c r="G30" s="52"/>
      <c r="H30" s="52"/>
      <c r="R30" s="101" t="s">
        <v>190</v>
      </c>
      <c r="S30" s="101"/>
      <c r="T30" s="101"/>
      <c r="U30" s="101"/>
      <c r="V30" s="101"/>
      <c r="W30" s="101"/>
      <c r="X30" s="101"/>
    </row>
    <row r="31" spans="2:24" x14ac:dyDescent="0.15">
      <c r="B31" s="52"/>
      <c r="C31" s="52"/>
      <c r="D31" s="52"/>
      <c r="E31" s="52"/>
      <c r="F31" s="52"/>
      <c r="G31" s="52"/>
      <c r="H31" s="52"/>
      <c r="R31" s="75" t="s">
        <v>50</v>
      </c>
      <c r="S31" s="41">
        <f t="shared" ref="S31:X31" si="12">S22*4%</f>
        <v>2.04</v>
      </c>
      <c r="T31" s="41">
        <f t="shared" si="12"/>
        <v>0.12</v>
      </c>
      <c r="U31" s="41">
        <f t="shared" si="12"/>
        <v>0.2</v>
      </c>
      <c r="V31" s="41">
        <f t="shared" si="12"/>
        <v>0.4</v>
      </c>
      <c r="W31" s="41">
        <f t="shared" si="12"/>
        <v>0.68</v>
      </c>
      <c r="X31" s="41">
        <f t="shared" si="12"/>
        <v>0.56000000000000005</v>
      </c>
    </row>
    <row r="32" spans="2:24" ht="14" x14ac:dyDescent="0.15">
      <c r="B32" s="52"/>
      <c r="C32" s="52"/>
      <c r="D32" s="52"/>
      <c r="E32" s="52"/>
      <c r="F32" s="52"/>
      <c r="G32" s="52"/>
      <c r="H32" s="52"/>
      <c r="R32" s="76" t="s">
        <v>179</v>
      </c>
      <c r="S32" s="41"/>
      <c r="T32" s="44"/>
      <c r="U32" s="44"/>
      <c r="V32" s="44"/>
      <c r="W32" s="44"/>
      <c r="X32" s="44"/>
    </row>
    <row r="33" spans="2:24" x14ac:dyDescent="0.15">
      <c r="B33" s="52"/>
      <c r="C33" s="52"/>
      <c r="D33" s="52"/>
      <c r="E33" s="52"/>
      <c r="F33" s="52"/>
      <c r="G33" s="52"/>
      <c r="H33" s="52"/>
      <c r="R33" s="75" t="s">
        <v>51</v>
      </c>
      <c r="S33" s="41">
        <f t="shared" ref="S33:X33" si="13">S24*4%</f>
        <v>2.6919999999999997</v>
      </c>
      <c r="T33" s="41">
        <f t="shared" si="13"/>
        <v>9.1999999999999998E-2</v>
      </c>
      <c r="U33" s="41">
        <f t="shared" si="13"/>
        <v>0.13200000000000001</v>
      </c>
      <c r="V33" s="41">
        <f t="shared" si="13"/>
        <v>0.49200000000000005</v>
      </c>
      <c r="W33" s="41">
        <f t="shared" si="13"/>
        <v>0.13200000000000001</v>
      </c>
      <c r="X33" s="41">
        <f t="shared" si="13"/>
        <v>0.45200000000000001</v>
      </c>
    </row>
    <row r="34" spans="2:24" ht="14" x14ac:dyDescent="0.15">
      <c r="B34" s="52"/>
      <c r="C34" s="52"/>
      <c r="D34" s="52"/>
      <c r="E34" s="52"/>
      <c r="F34" s="52"/>
      <c r="G34" s="52"/>
      <c r="H34" s="52"/>
      <c r="R34" s="76" t="s">
        <v>180</v>
      </c>
      <c r="S34" s="41"/>
      <c r="T34" s="44"/>
      <c r="U34" s="44"/>
      <c r="V34" s="44"/>
      <c r="W34" s="44"/>
      <c r="X34" s="44"/>
    </row>
    <row r="35" spans="2:24" x14ac:dyDescent="0.15">
      <c r="B35" s="52"/>
      <c r="C35" s="52"/>
      <c r="D35" s="52"/>
      <c r="E35" s="52"/>
      <c r="F35" s="52"/>
      <c r="G35" s="52"/>
      <c r="H35" s="52"/>
      <c r="R35" s="75" t="s">
        <v>52</v>
      </c>
      <c r="S35" s="41">
        <f t="shared" ref="S35:X35" si="14">S26*4%</f>
        <v>3.2800000000000002</v>
      </c>
      <c r="T35" s="41">
        <f t="shared" si="14"/>
        <v>0.04</v>
      </c>
      <c r="U35" s="41">
        <f t="shared" si="14"/>
        <v>0.12</v>
      </c>
      <c r="V35" s="41">
        <f t="shared" si="14"/>
        <v>0.28000000000000003</v>
      </c>
      <c r="W35" s="41">
        <f t="shared" si="14"/>
        <v>0</v>
      </c>
      <c r="X35" s="41">
        <f t="shared" si="14"/>
        <v>0.28000000000000003</v>
      </c>
    </row>
    <row r="36" spans="2:24" ht="14" x14ac:dyDescent="0.15">
      <c r="B36" s="52"/>
      <c r="C36" s="52"/>
      <c r="D36" s="52"/>
      <c r="E36" s="52"/>
      <c r="F36" s="52"/>
      <c r="G36" s="52"/>
      <c r="H36" s="52"/>
      <c r="R36" s="76" t="s">
        <v>183</v>
      </c>
      <c r="S36" s="41"/>
      <c r="T36" s="44"/>
      <c r="U36" s="44"/>
      <c r="V36" s="44"/>
      <c r="W36" s="44"/>
      <c r="X36" s="44"/>
    </row>
    <row r="37" spans="2:24" x14ac:dyDescent="0.15">
      <c r="B37" s="52"/>
      <c r="C37" s="52"/>
      <c r="D37" s="52"/>
      <c r="E37" s="52"/>
      <c r="F37" s="52"/>
      <c r="G37" s="62"/>
      <c r="H37" s="62"/>
      <c r="R37" s="75" t="s">
        <v>53</v>
      </c>
      <c r="S37" s="41">
        <f t="shared" ref="S37:X37" si="15">S28*4%</f>
        <v>3.12</v>
      </c>
      <c r="T37" s="41">
        <f t="shared" si="15"/>
        <v>0.08</v>
      </c>
      <c r="U37" s="41">
        <f t="shared" si="15"/>
        <v>0.08</v>
      </c>
      <c r="V37" s="41">
        <f t="shared" si="15"/>
        <v>0.2</v>
      </c>
      <c r="W37" s="41">
        <f t="shared" si="15"/>
        <v>0</v>
      </c>
      <c r="X37" s="41">
        <f t="shared" si="15"/>
        <v>0.52</v>
      </c>
    </row>
    <row r="38" spans="2:24" ht="14" x14ac:dyDescent="0.15">
      <c r="B38" s="52"/>
      <c r="C38" s="52"/>
      <c r="D38" s="52"/>
      <c r="E38" s="52"/>
      <c r="F38" s="52"/>
      <c r="G38" s="52"/>
      <c r="H38" s="52"/>
      <c r="R38" s="76" t="s">
        <v>189</v>
      </c>
      <c r="S38" s="37"/>
      <c r="T38" s="44"/>
      <c r="U38" s="44"/>
      <c r="V38" s="44"/>
      <c r="W38" s="44"/>
      <c r="X38" s="44"/>
    </row>
    <row r="39" spans="2:24" x14ac:dyDescent="0.15">
      <c r="B39" s="52"/>
      <c r="C39" s="52"/>
      <c r="D39" s="52"/>
      <c r="E39" s="52"/>
      <c r="F39" s="52"/>
      <c r="G39" s="52"/>
      <c r="H39" s="52"/>
      <c r="R39" s="69"/>
    </row>
    <row r="40" spans="2:24" x14ac:dyDescent="0.15">
      <c r="B40" s="52"/>
      <c r="C40" s="52"/>
      <c r="D40" s="52"/>
      <c r="E40" s="52"/>
      <c r="F40" s="52"/>
      <c r="G40" s="52"/>
      <c r="H40" s="52"/>
    </row>
    <row r="41" spans="2:24" x14ac:dyDescent="0.15">
      <c r="B41" s="52"/>
      <c r="C41" s="52"/>
      <c r="D41" s="52"/>
      <c r="E41" s="52"/>
      <c r="F41" s="52"/>
      <c r="G41" s="52"/>
      <c r="H41" s="52"/>
    </row>
    <row r="42" spans="2:24" x14ac:dyDescent="0.15">
      <c r="B42" s="52"/>
      <c r="C42" s="52"/>
      <c r="D42" s="52"/>
      <c r="E42" s="52"/>
      <c r="F42" s="52"/>
      <c r="G42" s="52"/>
      <c r="H42" s="52"/>
    </row>
    <row r="43" spans="2:24" x14ac:dyDescent="0.15">
      <c r="B43" s="52"/>
      <c r="C43" s="52"/>
      <c r="D43" s="52"/>
      <c r="E43" s="52"/>
      <c r="F43" s="52"/>
      <c r="G43" s="52"/>
      <c r="H43" s="52"/>
    </row>
    <row r="44" spans="2:24" x14ac:dyDescent="0.15">
      <c r="B44" s="52"/>
      <c r="C44" s="52"/>
      <c r="D44" s="52"/>
      <c r="E44" s="52"/>
      <c r="F44" s="52"/>
      <c r="G44" s="52"/>
      <c r="H44" s="52"/>
      <c r="R44" s="59"/>
      <c r="S44" s="59"/>
      <c r="T44" s="59"/>
      <c r="U44" s="59"/>
    </row>
    <row r="45" spans="2:24" x14ac:dyDescent="0.15">
      <c r="B45" s="52"/>
      <c r="C45" s="52"/>
      <c r="D45" s="52"/>
      <c r="E45" s="52"/>
      <c r="F45" s="52"/>
      <c r="G45" s="52"/>
      <c r="H45" s="52"/>
      <c r="R45" s="59"/>
      <c r="S45" s="59"/>
      <c r="T45" s="59"/>
      <c r="U45" s="59"/>
    </row>
    <row r="46" spans="2:24" x14ac:dyDescent="0.15">
      <c r="B46" s="52"/>
      <c r="C46" s="52"/>
      <c r="D46" s="52"/>
      <c r="E46" s="52"/>
      <c r="F46" s="52"/>
      <c r="G46" s="52"/>
      <c r="H46" s="52"/>
      <c r="R46" s="59"/>
      <c r="S46" s="59"/>
      <c r="T46" s="59"/>
      <c r="U46" s="59"/>
    </row>
    <row r="47" spans="2:24" x14ac:dyDescent="0.15">
      <c r="B47" s="52"/>
      <c r="C47" s="52"/>
      <c r="D47" s="52"/>
      <c r="E47" s="52"/>
      <c r="F47" s="52"/>
      <c r="G47" s="52"/>
      <c r="H47" s="52"/>
      <c r="R47" s="59"/>
      <c r="S47" s="59"/>
      <c r="T47" s="59"/>
      <c r="U47" s="59"/>
    </row>
    <row r="48" spans="2:24" x14ac:dyDescent="0.15">
      <c r="B48" s="52"/>
      <c r="C48" s="52"/>
      <c r="D48" s="52"/>
      <c r="E48" s="52"/>
      <c r="F48" s="52"/>
      <c r="G48" s="52"/>
      <c r="H48" s="52"/>
      <c r="R48" s="59"/>
      <c r="S48" s="59"/>
      <c r="T48" s="59"/>
      <c r="U48" s="59"/>
    </row>
    <row r="49" spans="2:23" x14ac:dyDescent="0.15">
      <c r="B49" s="52"/>
      <c r="C49" s="52"/>
      <c r="D49" s="52"/>
      <c r="E49" s="52"/>
      <c r="F49" s="52"/>
      <c r="G49" s="52"/>
      <c r="H49" s="52"/>
      <c r="R49" s="59"/>
      <c r="S49" s="59"/>
      <c r="T49" s="59"/>
      <c r="U49" s="59"/>
    </row>
    <row r="50" spans="2:23" x14ac:dyDescent="0.15">
      <c r="B50" s="52"/>
      <c r="C50" s="52"/>
      <c r="D50" s="52"/>
      <c r="E50" s="52"/>
      <c r="F50" s="52"/>
      <c r="G50" s="52"/>
      <c r="H50" s="52"/>
    </row>
    <row r="51" spans="2:23" x14ac:dyDescent="0.15">
      <c r="B51" s="52"/>
      <c r="C51" s="52"/>
      <c r="D51" s="52"/>
      <c r="E51" s="52"/>
      <c r="F51" s="52"/>
      <c r="G51" s="52"/>
      <c r="H51" s="52"/>
    </row>
    <row r="52" spans="2:23" x14ac:dyDescent="0.15">
      <c r="B52" s="52"/>
      <c r="C52" s="52"/>
      <c r="D52" s="52"/>
      <c r="E52" s="52"/>
      <c r="F52" s="52"/>
      <c r="G52" s="52"/>
      <c r="H52" s="52"/>
    </row>
    <row r="53" spans="2:23" x14ac:dyDescent="0.15">
      <c r="B53" s="52"/>
      <c r="C53" s="52"/>
      <c r="D53" s="52"/>
      <c r="E53" s="52"/>
      <c r="F53" s="52"/>
      <c r="G53" s="52"/>
      <c r="H53" s="52"/>
    </row>
    <row r="54" spans="2:23" x14ac:dyDescent="0.15">
      <c r="B54" s="52"/>
      <c r="C54" s="52"/>
      <c r="D54" s="52"/>
      <c r="E54" s="52"/>
      <c r="F54" s="52"/>
      <c r="G54" s="52"/>
      <c r="H54" s="52"/>
      <c r="R54" s="59"/>
      <c r="S54" s="59"/>
      <c r="T54" s="59"/>
      <c r="U54" s="59"/>
      <c r="V54" s="59"/>
      <c r="W54" s="59"/>
    </row>
    <row r="55" spans="2:23" x14ac:dyDescent="0.15">
      <c r="B55" s="52"/>
      <c r="C55" s="52"/>
      <c r="D55" s="52"/>
      <c r="E55" s="52"/>
      <c r="F55" s="52"/>
      <c r="G55" s="52"/>
      <c r="H55" s="52"/>
      <c r="R55" s="59"/>
      <c r="S55" s="59"/>
      <c r="T55" s="59"/>
      <c r="U55" s="59"/>
      <c r="V55" s="59"/>
      <c r="W55" s="59"/>
    </row>
    <row r="56" spans="2:23" x14ac:dyDescent="0.15">
      <c r="B56" s="52"/>
      <c r="C56" s="52"/>
      <c r="D56" s="52"/>
      <c r="E56" s="52"/>
      <c r="F56" s="52"/>
      <c r="G56" s="52"/>
      <c r="H56" s="52"/>
      <c r="R56" s="59"/>
      <c r="S56" s="59"/>
      <c r="T56" s="59"/>
      <c r="U56" s="59"/>
      <c r="V56" s="59"/>
      <c r="W56" s="59"/>
    </row>
    <row r="57" spans="2:23" x14ac:dyDescent="0.15">
      <c r="B57" s="52"/>
      <c r="C57" s="52"/>
      <c r="D57" s="52"/>
      <c r="E57" s="52"/>
      <c r="F57" s="52"/>
      <c r="G57" s="52"/>
      <c r="H57" s="52"/>
    </row>
    <row r="58" spans="2:23" x14ac:dyDescent="0.15">
      <c r="B58" s="52"/>
      <c r="C58" s="52"/>
      <c r="D58" s="52"/>
      <c r="E58" s="52"/>
      <c r="F58" s="52"/>
      <c r="G58" s="52"/>
      <c r="H58" s="52"/>
    </row>
    <row r="59" spans="2:23" x14ac:dyDescent="0.15">
      <c r="B59" s="52"/>
      <c r="C59" s="52"/>
      <c r="D59" s="52"/>
      <c r="E59" s="52"/>
      <c r="F59" s="52"/>
      <c r="G59" s="52"/>
      <c r="H59" s="52"/>
    </row>
    <row r="60" spans="2:23" x14ac:dyDescent="0.15">
      <c r="B60" s="52"/>
      <c r="C60" s="52"/>
      <c r="D60" s="52"/>
      <c r="E60" s="52"/>
      <c r="F60" s="52"/>
      <c r="G60" s="52"/>
      <c r="H60" s="52"/>
    </row>
    <row r="61" spans="2:23" x14ac:dyDescent="0.15">
      <c r="B61" s="52"/>
      <c r="C61" s="52"/>
      <c r="D61" s="52"/>
      <c r="E61" s="52"/>
      <c r="F61" s="52"/>
      <c r="G61" s="52"/>
      <c r="H61" s="52"/>
    </row>
    <row r="62" spans="2:23" x14ac:dyDescent="0.15">
      <c r="B62" s="52"/>
      <c r="C62" s="52"/>
      <c r="D62" s="52"/>
      <c r="E62" s="52"/>
      <c r="F62" s="52"/>
      <c r="G62" s="52"/>
      <c r="H62" s="52"/>
    </row>
    <row r="63" spans="2:23" x14ac:dyDescent="0.15">
      <c r="B63" s="52"/>
      <c r="C63" s="52"/>
      <c r="D63" s="52"/>
      <c r="E63" s="52"/>
      <c r="F63" s="52"/>
      <c r="G63" s="52"/>
      <c r="H63" s="52"/>
    </row>
    <row r="64" spans="2:23" x14ac:dyDescent="0.15">
      <c r="B64" s="52"/>
      <c r="C64" s="52"/>
      <c r="D64" s="52"/>
      <c r="E64" s="52"/>
      <c r="F64" s="52"/>
      <c r="G64" s="52"/>
      <c r="H64" s="52"/>
    </row>
    <row r="65" s="52" customFormat="1" x14ac:dyDescent="0.15"/>
    <row r="66" s="52" customFormat="1" x14ac:dyDescent="0.15"/>
    <row r="67" s="52" customFormat="1" x14ac:dyDescent="0.15"/>
    <row r="68" s="52" customFormat="1" x14ac:dyDescent="0.15"/>
    <row r="69" s="52" customFormat="1" x14ac:dyDescent="0.15"/>
    <row r="70" s="52" customFormat="1" x14ac:dyDescent="0.15"/>
    <row r="71" s="52" customFormat="1" x14ac:dyDescent="0.15"/>
    <row r="72" s="52" customFormat="1" x14ac:dyDescent="0.15"/>
    <row r="73" s="52" customFormat="1" x14ac:dyDescent="0.15"/>
  </sheetData>
  <mergeCells count="3">
    <mergeCell ref="B2:H2"/>
    <mergeCell ref="R11:V11"/>
    <mergeCell ref="R30:X30"/>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8571-A10C-724A-B0D1-CCD76C3D4DEB}">
  <dimension ref="A1:AE182"/>
  <sheetViews>
    <sheetView zoomScale="90" zoomScaleNormal="90" workbookViewId="0">
      <selection activeCell="Q30" sqref="Q30"/>
    </sheetView>
  </sheetViews>
  <sheetFormatPr baseColWidth="10" defaultRowHeight="16" x14ac:dyDescent="0.2"/>
  <cols>
    <col min="1" max="16384" width="10.83203125" style="4"/>
  </cols>
  <sheetData>
    <row r="1" spans="1:31" x14ac:dyDescent="0.2">
      <c r="A1" s="4" t="s">
        <v>198</v>
      </c>
    </row>
    <row r="3" spans="1:31" x14ac:dyDescent="0.2">
      <c r="B3" s="102" t="s">
        <v>50</v>
      </c>
      <c r="C3" s="102"/>
      <c r="E3" s="102" t="s">
        <v>51</v>
      </c>
      <c r="F3" s="102"/>
      <c r="H3" s="102" t="s">
        <v>52</v>
      </c>
      <c r="I3" s="102"/>
      <c r="K3" s="102" t="s">
        <v>53</v>
      </c>
      <c r="L3" s="102"/>
    </row>
    <row r="4" spans="1:31" x14ac:dyDescent="0.2">
      <c r="B4" s="49" t="s">
        <v>199</v>
      </c>
      <c r="C4" s="49" t="s">
        <v>200</v>
      </c>
      <c r="E4" s="49" t="s">
        <v>199</v>
      </c>
      <c r="F4" s="49" t="s">
        <v>200</v>
      </c>
      <c r="H4" s="49" t="s">
        <v>199</v>
      </c>
      <c r="I4" s="49" t="s">
        <v>200</v>
      </c>
      <c r="K4" s="49" t="s">
        <v>199</v>
      </c>
      <c r="L4" s="49" t="s">
        <v>200</v>
      </c>
    </row>
    <row r="5" spans="1:31" x14ac:dyDescent="0.2">
      <c r="E5" s="82">
        <v>2.50000004E-2</v>
      </c>
      <c r="F5" s="4">
        <v>0</v>
      </c>
      <c r="H5" s="82">
        <v>2.50000004E-2</v>
      </c>
      <c r="I5" s="4">
        <v>0</v>
      </c>
      <c r="K5" s="82">
        <v>2.50000004E-2</v>
      </c>
      <c r="L5" s="4">
        <v>0</v>
      </c>
    </row>
    <row r="6" spans="1:31" x14ac:dyDescent="0.2">
      <c r="E6" s="82">
        <v>7.5000002999999996E-2</v>
      </c>
      <c r="F6" s="4">
        <v>0</v>
      </c>
      <c r="H6" s="82">
        <v>7.5000002999999996E-2</v>
      </c>
      <c r="I6" s="4">
        <v>0</v>
      </c>
      <c r="K6" s="82">
        <v>7.5000002999999996E-2</v>
      </c>
      <c r="L6" s="4">
        <v>0</v>
      </c>
      <c r="Y6" s="82"/>
    </row>
    <row r="7" spans="1:31" x14ac:dyDescent="0.2">
      <c r="E7" s="4">
        <v>0.125</v>
      </c>
      <c r="F7" s="4">
        <v>0</v>
      </c>
      <c r="H7" s="4">
        <v>0.125</v>
      </c>
      <c r="I7" s="4">
        <v>0</v>
      </c>
      <c r="K7" s="4">
        <v>0.125</v>
      </c>
      <c r="L7" s="4">
        <v>0</v>
      </c>
      <c r="Y7" s="82"/>
    </row>
    <row r="8" spans="1:31" x14ac:dyDescent="0.2">
      <c r="E8" s="4">
        <v>0.17499999699999999</v>
      </c>
      <c r="F8" s="4">
        <v>0</v>
      </c>
      <c r="H8" s="4">
        <v>0.17499999699999999</v>
      </c>
      <c r="I8" s="4">
        <v>0</v>
      </c>
      <c r="K8" s="4">
        <v>0.17499999699999999</v>
      </c>
      <c r="L8" s="4">
        <v>0</v>
      </c>
      <c r="Y8" s="82"/>
    </row>
    <row r="9" spans="1:31" x14ac:dyDescent="0.2">
      <c r="E9" s="4">
        <v>0.22499999400000001</v>
      </c>
      <c r="F9" s="4">
        <v>0</v>
      </c>
      <c r="H9" s="4">
        <v>0.22499999400000001</v>
      </c>
      <c r="I9" s="4">
        <v>0</v>
      </c>
      <c r="K9" s="4">
        <v>0.22499999400000001</v>
      </c>
      <c r="L9" s="4">
        <v>0</v>
      </c>
      <c r="AE9" s="82"/>
    </row>
    <row r="10" spans="1:31" x14ac:dyDescent="0.2">
      <c r="E10" s="4">
        <v>0.27500000600000002</v>
      </c>
      <c r="F10" s="4">
        <v>0</v>
      </c>
      <c r="H10" s="4">
        <v>0.27500000600000002</v>
      </c>
      <c r="I10" s="4">
        <v>0</v>
      </c>
      <c r="K10" s="4">
        <v>0.27500000600000002</v>
      </c>
      <c r="L10" s="4">
        <v>0</v>
      </c>
      <c r="AE10" s="82"/>
    </row>
    <row r="11" spans="1:31" x14ac:dyDescent="0.2">
      <c r="E11" s="4">
        <v>0.32499998800000002</v>
      </c>
      <c r="F11" s="4">
        <v>0</v>
      </c>
      <c r="H11" s="4">
        <v>0.32499998800000002</v>
      </c>
      <c r="I11" s="4">
        <v>0</v>
      </c>
      <c r="K11" s="4">
        <v>0.32499998800000002</v>
      </c>
      <c r="L11" s="4">
        <v>0</v>
      </c>
      <c r="AE11" s="82"/>
    </row>
    <row r="12" spans="1:31" x14ac:dyDescent="0.2">
      <c r="E12" s="4">
        <v>0.375</v>
      </c>
      <c r="F12" s="4">
        <v>0</v>
      </c>
      <c r="H12" s="4">
        <v>0.375</v>
      </c>
      <c r="I12" s="4">
        <v>0</v>
      </c>
      <c r="K12" s="4">
        <v>0.375</v>
      </c>
      <c r="L12" s="4">
        <v>0</v>
      </c>
    </row>
    <row r="13" spans="1:31" x14ac:dyDescent="0.2">
      <c r="E13" s="4">
        <v>0.42500001199999998</v>
      </c>
      <c r="F13" s="4">
        <v>0</v>
      </c>
      <c r="H13" s="4">
        <v>0.42500001199999998</v>
      </c>
      <c r="I13" s="4">
        <v>0</v>
      </c>
      <c r="K13" s="4">
        <v>0.42500001199999998</v>
      </c>
      <c r="L13" s="4">
        <v>0</v>
      </c>
    </row>
    <row r="14" spans="1:31" x14ac:dyDescent="0.2">
      <c r="E14" s="4">
        <v>0.47499999399999998</v>
      </c>
      <c r="F14" s="4">
        <v>0</v>
      </c>
      <c r="H14" s="4">
        <v>0.47499999399999998</v>
      </c>
      <c r="I14" s="4">
        <v>0</v>
      </c>
      <c r="K14" s="4">
        <v>0.47499999399999998</v>
      </c>
      <c r="L14" s="4">
        <v>0</v>
      </c>
    </row>
    <row r="15" spans="1:31" x14ac:dyDescent="0.2">
      <c r="E15" s="4">
        <v>0.525000036</v>
      </c>
      <c r="F15" s="4">
        <v>0</v>
      </c>
      <c r="H15" s="4">
        <v>0.525000036</v>
      </c>
      <c r="I15" s="4">
        <v>0</v>
      </c>
      <c r="K15" s="4">
        <v>0.525000036</v>
      </c>
      <c r="L15" s="4">
        <v>0</v>
      </c>
    </row>
    <row r="16" spans="1:31" x14ac:dyDescent="0.2">
      <c r="E16" s="4">
        <v>0.57500004800000004</v>
      </c>
      <c r="F16" s="4">
        <v>0</v>
      </c>
      <c r="H16" s="4">
        <v>0.57500004800000004</v>
      </c>
      <c r="I16" s="4">
        <v>0</v>
      </c>
      <c r="K16" s="4">
        <v>0.57500004800000004</v>
      </c>
      <c r="L16" s="4">
        <v>0</v>
      </c>
    </row>
    <row r="17" spans="5:12" x14ac:dyDescent="0.2">
      <c r="E17" s="4">
        <v>0.62500005999999997</v>
      </c>
      <c r="F17" s="4">
        <v>0</v>
      </c>
      <c r="H17" s="4">
        <v>0.62500005999999997</v>
      </c>
      <c r="I17" s="4">
        <v>0</v>
      </c>
      <c r="K17" s="4">
        <v>0.62500005999999997</v>
      </c>
      <c r="L17" s="4">
        <v>0</v>
      </c>
    </row>
    <row r="18" spans="5:12" x14ac:dyDescent="0.2">
      <c r="E18" s="4">
        <v>0.67500001200000004</v>
      </c>
      <c r="F18" s="4">
        <v>0</v>
      </c>
      <c r="H18" s="4">
        <v>0.67500001200000004</v>
      </c>
      <c r="I18" s="4">
        <v>0</v>
      </c>
      <c r="K18" s="4">
        <v>0.67500001200000004</v>
      </c>
      <c r="L18" s="4">
        <v>0</v>
      </c>
    </row>
    <row r="19" spans="5:12" x14ac:dyDescent="0.2">
      <c r="E19" s="4">
        <v>0.72500002399999997</v>
      </c>
      <c r="F19" s="4">
        <v>0</v>
      </c>
      <c r="H19" s="4">
        <v>0.72500002399999997</v>
      </c>
      <c r="I19" s="4">
        <v>0</v>
      </c>
      <c r="K19" s="4">
        <v>0.72500002399999997</v>
      </c>
      <c r="L19" s="4">
        <v>0</v>
      </c>
    </row>
    <row r="20" spans="5:12" x14ac:dyDescent="0.2">
      <c r="E20" s="4">
        <v>0.775000036</v>
      </c>
      <c r="F20" s="4">
        <v>0</v>
      </c>
      <c r="H20" s="4">
        <v>0.775000036</v>
      </c>
      <c r="I20" s="4">
        <v>0</v>
      </c>
      <c r="K20" s="4">
        <v>0.775000036</v>
      </c>
      <c r="L20" s="4">
        <v>0</v>
      </c>
    </row>
    <row r="21" spans="5:12" x14ac:dyDescent="0.2">
      <c r="E21" s="4">
        <v>0.82500004800000004</v>
      </c>
      <c r="F21" s="4">
        <v>0</v>
      </c>
      <c r="H21" s="4">
        <v>0.82500004800000004</v>
      </c>
      <c r="I21" s="4">
        <v>0</v>
      </c>
      <c r="K21" s="4">
        <v>0.82500004800000004</v>
      </c>
      <c r="L21" s="4">
        <v>0</v>
      </c>
    </row>
    <row r="22" spans="5:12" x14ac:dyDescent="0.2">
      <c r="E22" s="4">
        <v>0.87500005999999997</v>
      </c>
      <c r="F22" s="4">
        <v>0</v>
      </c>
      <c r="H22" s="4">
        <v>0.87500005999999997</v>
      </c>
      <c r="I22" s="4">
        <v>0</v>
      </c>
      <c r="K22" s="4">
        <v>0.87500005999999997</v>
      </c>
      <c r="L22" s="4">
        <v>0</v>
      </c>
    </row>
    <row r="23" spans="5:12" x14ac:dyDescent="0.2">
      <c r="E23" s="4">
        <v>0.92500001200000004</v>
      </c>
      <c r="F23" s="4">
        <v>0</v>
      </c>
      <c r="H23" s="4">
        <v>0.92500001200000004</v>
      </c>
      <c r="I23" s="4">
        <v>0</v>
      </c>
      <c r="K23" s="4">
        <v>0.92500001200000004</v>
      </c>
      <c r="L23" s="4">
        <v>0</v>
      </c>
    </row>
    <row r="24" spans="5:12" x14ac:dyDescent="0.2">
      <c r="E24" s="4">
        <v>0.97500002399999997</v>
      </c>
      <c r="F24" s="4">
        <v>0</v>
      </c>
      <c r="H24" s="4">
        <v>0.97500002399999997</v>
      </c>
      <c r="I24" s="4">
        <v>0</v>
      </c>
      <c r="K24" s="4">
        <v>0.97500002399999997</v>
      </c>
      <c r="L24" s="4">
        <v>0</v>
      </c>
    </row>
    <row r="25" spans="5:12" x14ac:dyDescent="0.2">
      <c r="E25" s="4">
        <v>1.0250001</v>
      </c>
      <c r="F25" s="4">
        <v>0</v>
      </c>
      <c r="H25" s="4">
        <v>1.0250001</v>
      </c>
      <c r="I25" s="4">
        <v>0</v>
      </c>
      <c r="K25" s="4">
        <v>1.0250001</v>
      </c>
      <c r="L25" s="4">
        <v>0</v>
      </c>
    </row>
    <row r="26" spans="5:12" x14ac:dyDescent="0.2">
      <c r="E26" s="4">
        <v>1.0750000500000001</v>
      </c>
      <c r="F26" s="4">
        <v>0</v>
      </c>
      <c r="H26" s="4">
        <v>1.0750000500000001</v>
      </c>
      <c r="I26" s="4">
        <v>0</v>
      </c>
      <c r="K26" s="4">
        <v>1.0750000500000001</v>
      </c>
      <c r="L26" s="4">
        <v>0</v>
      </c>
    </row>
    <row r="27" spans="5:12" x14ac:dyDescent="0.2">
      <c r="E27" s="4">
        <v>1.125</v>
      </c>
      <c r="F27" s="4">
        <v>0</v>
      </c>
      <c r="H27" s="4">
        <v>1.125</v>
      </c>
      <c r="I27" s="4">
        <v>0</v>
      </c>
      <c r="K27" s="4">
        <v>1.125</v>
      </c>
      <c r="L27" s="4">
        <v>0</v>
      </c>
    </row>
    <row r="28" spans="5:12" x14ac:dyDescent="0.2">
      <c r="E28" s="4">
        <v>1.1750000700000001</v>
      </c>
      <c r="F28" s="4">
        <v>0</v>
      </c>
      <c r="H28" s="4">
        <v>1.1750000700000001</v>
      </c>
      <c r="I28" s="4">
        <v>0</v>
      </c>
      <c r="K28" s="4">
        <v>1.1750000700000001</v>
      </c>
      <c r="L28" s="4">
        <v>0</v>
      </c>
    </row>
    <row r="29" spans="5:12" x14ac:dyDescent="0.2">
      <c r="E29" s="4">
        <v>1.22500002</v>
      </c>
      <c r="F29" s="4">
        <v>0</v>
      </c>
      <c r="H29" s="4">
        <v>1.22500002</v>
      </c>
      <c r="I29" s="4">
        <v>0</v>
      </c>
      <c r="K29" s="4">
        <v>1.22500002</v>
      </c>
      <c r="L29" s="4">
        <v>0</v>
      </c>
    </row>
    <row r="30" spans="5:12" x14ac:dyDescent="0.2">
      <c r="E30" s="4">
        <v>1.2750001</v>
      </c>
      <c r="F30" s="4">
        <v>0</v>
      </c>
      <c r="H30" s="4">
        <v>1.2750001</v>
      </c>
      <c r="I30" s="4">
        <v>0</v>
      </c>
      <c r="K30" s="4">
        <v>1.2750001</v>
      </c>
      <c r="L30" s="4">
        <v>0</v>
      </c>
    </row>
    <row r="31" spans="5:12" x14ac:dyDescent="0.2">
      <c r="E31" s="4">
        <v>1.3250000500000001</v>
      </c>
      <c r="F31" s="4">
        <v>0</v>
      </c>
      <c r="H31" s="4">
        <v>1.3250000500000001</v>
      </c>
      <c r="I31" s="4">
        <v>0</v>
      </c>
      <c r="K31" s="4">
        <v>1.3250000500000001</v>
      </c>
      <c r="L31" s="4">
        <v>0</v>
      </c>
    </row>
    <row r="32" spans="5:12" x14ac:dyDescent="0.2">
      <c r="E32" s="4">
        <v>1.375</v>
      </c>
      <c r="F32" s="4">
        <v>0</v>
      </c>
      <c r="H32" s="4">
        <v>1.375</v>
      </c>
      <c r="I32" s="4">
        <v>0</v>
      </c>
      <c r="K32" s="4">
        <v>1.375</v>
      </c>
      <c r="L32" s="4">
        <v>0</v>
      </c>
    </row>
    <row r="33" spans="5:12" x14ac:dyDescent="0.2">
      <c r="E33" s="4">
        <v>1.4250000700000001</v>
      </c>
      <c r="F33" s="4">
        <v>0</v>
      </c>
      <c r="H33" s="4">
        <v>1.4250000700000001</v>
      </c>
      <c r="I33" s="4">
        <v>0</v>
      </c>
      <c r="K33" s="4">
        <v>1.4250000700000001</v>
      </c>
      <c r="L33" s="4">
        <v>0</v>
      </c>
    </row>
    <row r="34" spans="5:12" x14ac:dyDescent="0.2">
      <c r="E34" s="4">
        <v>1.47500002</v>
      </c>
      <c r="F34" s="4">
        <v>0</v>
      </c>
      <c r="H34" s="4">
        <v>1.47500002</v>
      </c>
      <c r="I34" s="4">
        <v>0</v>
      </c>
      <c r="K34" s="4">
        <v>1.47500002</v>
      </c>
      <c r="L34" s="4">
        <v>0</v>
      </c>
    </row>
    <row r="35" spans="5:12" x14ac:dyDescent="0.2">
      <c r="E35" s="4">
        <v>1.5250001</v>
      </c>
      <c r="F35" s="4">
        <v>0</v>
      </c>
      <c r="H35" s="4">
        <v>1.5250001</v>
      </c>
      <c r="I35" s="4">
        <v>0</v>
      </c>
      <c r="K35" s="4">
        <v>1.5250001</v>
      </c>
      <c r="L35" s="4">
        <v>0</v>
      </c>
    </row>
    <row r="36" spans="5:12" x14ac:dyDescent="0.2">
      <c r="E36" s="4">
        <v>1.5750000500000001</v>
      </c>
      <c r="F36" s="4">
        <v>0</v>
      </c>
      <c r="H36" s="4">
        <v>1.5750000500000001</v>
      </c>
      <c r="I36" s="4">
        <v>0</v>
      </c>
      <c r="K36" s="4">
        <v>1.5750000500000001</v>
      </c>
      <c r="L36" s="4">
        <v>0</v>
      </c>
    </row>
    <row r="37" spans="5:12" x14ac:dyDescent="0.2">
      <c r="E37" s="4">
        <v>1.625</v>
      </c>
      <c r="F37" s="4">
        <v>0</v>
      </c>
      <c r="H37" s="4">
        <v>1.625</v>
      </c>
      <c r="I37" s="4">
        <v>0</v>
      </c>
      <c r="K37" s="4">
        <v>1.625</v>
      </c>
      <c r="L37" s="4">
        <v>0</v>
      </c>
    </row>
    <row r="38" spans="5:12" x14ac:dyDescent="0.2">
      <c r="E38" s="4">
        <v>1.6750000700000001</v>
      </c>
      <c r="F38" s="4">
        <v>0</v>
      </c>
      <c r="H38" s="4">
        <v>1.6750000700000001</v>
      </c>
      <c r="I38" s="4">
        <v>0</v>
      </c>
      <c r="K38" s="4">
        <v>1.6750000700000001</v>
      </c>
      <c r="L38" s="4">
        <v>0</v>
      </c>
    </row>
    <row r="39" spans="5:12" x14ac:dyDescent="0.2">
      <c r="E39" s="4">
        <v>1.72500002</v>
      </c>
      <c r="F39" s="4">
        <v>0</v>
      </c>
      <c r="H39" s="4">
        <v>1.72500002</v>
      </c>
      <c r="I39" s="4">
        <v>0</v>
      </c>
      <c r="K39" s="4">
        <v>1.72500002</v>
      </c>
      <c r="L39" s="4">
        <v>0</v>
      </c>
    </row>
    <row r="40" spans="5:12" x14ac:dyDescent="0.2">
      <c r="E40" s="4">
        <v>1.7750001</v>
      </c>
      <c r="F40" s="4">
        <v>0</v>
      </c>
      <c r="H40" s="4">
        <v>1.7750001</v>
      </c>
      <c r="I40" s="4">
        <v>0</v>
      </c>
      <c r="K40" s="4">
        <v>1.7750001</v>
      </c>
      <c r="L40" s="4">
        <v>0</v>
      </c>
    </row>
    <row r="41" spans="5:12" x14ac:dyDescent="0.2">
      <c r="E41" s="4">
        <v>1.8250000500000001</v>
      </c>
      <c r="F41" s="4">
        <v>0</v>
      </c>
      <c r="H41" s="4">
        <v>1.8250000500000001</v>
      </c>
      <c r="I41" s="4">
        <v>0</v>
      </c>
      <c r="K41" s="4">
        <v>1.8250000500000001</v>
      </c>
      <c r="L41" s="4">
        <v>0</v>
      </c>
    </row>
    <row r="42" spans="5:12" x14ac:dyDescent="0.2">
      <c r="E42" s="4">
        <v>1.875</v>
      </c>
      <c r="F42" s="4">
        <v>0</v>
      </c>
      <c r="H42" s="4">
        <v>1.875</v>
      </c>
      <c r="I42" s="4">
        <v>0</v>
      </c>
      <c r="K42" s="4">
        <v>1.875</v>
      </c>
      <c r="L42" s="4">
        <v>0</v>
      </c>
    </row>
    <row r="43" spans="5:12" x14ac:dyDescent="0.2">
      <c r="E43" s="4">
        <v>1.9250000700000001</v>
      </c>
      <c r="F43" s="4">
        <v>0</v>
      </c>
      <c r="H43" s="4">
        <v>1.9250000700000001</v>
      </c>
      <c r="I43" s="4">
        <v>0</v>
      </c>
      <c r="K43" s="4">
        <v>1.9250000700000001</v>
      </c>
      <c r="L43" s="4">
        <v>0</v>
      </c>
    </row>
    <row r="44" spans="5:12" x14ac:dyDescent="0.2">
      <c r="E44" s="4">
        <v>1.97500002</v>
      </c>
      <c r="F44" s="4">
        <v>0</v>
      </c>
      <c r="H44" s="4">
        <v>1.97500002</v>
      </c>
      <c r="I44" s="4">
        <v>0</v>
      </c>
      <c r="K44" s="4">
        <v>1.97500002</v>
      </c>
      <c r="L44" s="4">
        <v>0</v>
      </c>
    </row>
    <row r="45" spans="5:12" x14ac:dyDescent="0.2">
      <c r="E45" s="4">
        <v>2.0249998599999999</v>
      </c>
      <c r="F45" s="4">
        <v>0</v>
      </c>
      <c r="H45" s="4">
        <v>2.0249998599999999</v>
      </c>
      <c r="I45" s="4">
        <v>0</v>
      </c>
      <c r="K45" s="4">
        <v>2.0249998599999999</v>
      </c>
      <c r="L45" s="4">
        <v>0</v>
      </c>
    </row>
    <row r="46" spans="5:12" x14ac:dyDescent="0.2">
      <c r="E46" s="4">
        <v>2.0750000499999999</v>
      </c>
      <c r="F46" s="4">
        <v>0</v>
      </c>
      <c r="H46" s="4">
        <v>2.0750000499999999</v>
      </c>
      <c r="I46" s="4">
        <v>0</v>
      </c>
      <c r="K46" s="4">
        <v>2.0750000499999999</v>
      </c>
      <c r="L46" s="4">
        <v>0</v>
      </c>
    </row>
    <row r="47" spans="5:12" x14ac:dyDescent="0.2">
      <c r="E47" s="4">
        <v>2.125</v>
      </c>
      <c r="F47" s="4">
        <v>0</v>
      </c>
      <c r="H47" s="4">
        <v>2.125</v>
      </c>
      <c r="I47" s="4">
        <v>0</v>
      </c>
      <c r="K47" s="4">
        <v>2.125</v>
      </c>
      <c r="L47" s="4">
        <v>0</v>
      </c>
    </row>
    <row r="48" spans="5:12" x14ac:dyDescent="0.2">
      <c r="E48" s="4">
        <v>2.1749999500000001</v>
      </c>
      <c r="F48" s="4">
        <v>0</v>
      </c>
      <c r="H48" s="4">
        <v>2.1749999500000001</v>
      </c>
      <c r="I48" s="4">
        <v>0</v>
      </c>
      <c r="K48" s="4">
        <v>2.1749999500000001</v>
      </c>
      <c r="L48" s="4">
        <v>0</v>
      </c>
    </row>
    <row r="49" spans="5:12" x14ac:dyDescent="0.2">
      <c r="E49" s="4">
        <v>2.2249998999999998</v>
      </c>
      <c r="F49" s="4">
        <v>0</v>
      </c>
      <c r="H49" s="4">
        <v>2.2249998999999998</v>
      </c>
      <c r="I49" s="4">
        <v>0</v>
      </c>
      <c r="K49" s="4">
        <v>2.2249998999999998</v>
      </c>
      <c r="L49" s="4">
        <v>0</v>
      </c>
    </row>
    <row r="50" spans="5:12" x14ac:dyDescent="0.2">
      <c r="E50" s="4">
        <v>2.2749998599999999</v>
      </c>
      <c r="F50" s="4">
        <v>0</v>
      </c>
      <c r="H50" s="4">
        <v>2.2749998599999999</v>
      </c>
      <c r="I50" s="4">
        <v>0</v>
      </c>
      <c r="K50" s="4">
        <v>2.2749998599999999</v>
      </c>
      <c r="L50" s="4">
        <v>0</v>
      </c>
    </row>
    <row r="51" spans="5:12" x14ac:dyDescent="0.2">
      <c r="E51" s="4">
        <v>2.3250000499999999</v>
      </c>
      <c r="F51" s="4">
        <v>0</v>
      </c>
      <c r="H51" s="4">
        <v>2.3250000499999999</v>
      </c>
      <c r="I51" s="4">
        <v>0</v>
      </c>
      <c r="K51" s="4">
        <v>2.3250000499999999</v>
      </c>
      <c r="L51" s="4">
        <v>0</v>
      </c>
    </row>
    <row r="52" spans="5:12" x14ac:dyDescent="0.2">
      <c r="E52" s="4">
        <v>2.375</v>
      </c>
      <c r="F52" s="4">
        <v>0</v>
      </c>
      <c r="H52" s="4">
        <v>2.375</v>
      </c>
      <c r="I52" s="4">
        <v>0</v>
      </c>
      <c r="K52" s="4">
        <v>2.375</v>
      </c>
      <c r="L52" s="4">
        <v>0</v>
      </c>
    </row>
    <row r="53" spans="5:12" x14ac:dyDescent="0.2">
      <c r="E53" s="4">
        <v>2.4249999500000001</v>
      </c>
      <c r="F53" s="4">
        <v>0</v>
      </c>
      <c r="H53" s="4">
        <v>2.4249999500000001</v>
      </c>
      <c r="I53" s="82">
        <v>6.2507391000000004E-3</v>
      </c>
      <c r="K53" s="4">
        <v>2.4249999500000001</v>
      </c>
      <c r="L53" s="4">
        <v>0</v>
      </c>
    </row>
    <row r="54" spans="5:12" x14ac:dyDescent="0.2">
      <c r="E54" s="4">
        <v>2.4749998999999998</v>
      </c>
      <c r="F54" s="82">
        <v>2.9015541100000002E-3</v>
      </c>
      <c r="H54" s="4">
        <v>2.4749998999999998</v>
      </c>
      <c r="I54" s="82">
        <v>2.0315647100000001E-2</v>
      </c>
      <c r="K54" s="4">
        <v>2.4749998999999998</v>
      </c>
      <c r="L54" s="4">
        <v>0</v>
      </c>
    </row>
    <row r="55" spans="5:12" x14ac:dyDescent="0.2">
      <c r="E55" s="4">
        <v>2.5249998599999999</v>
      </c>
      <c r="F55" s="82">
        <v>1.1606216399999999E-2</v>
      </c>
      <c r="H55" s="4">
        <v>2.5249998599999999</v>
      </c>
      <c r="I55" s="82">
        <v>2.0315647100000001E-2</v>
      </c>
      <c r="K55" s="4">
        <v>2.5249998599999999</v>
      </c>
      <c r="L55" s="82">
        <v>1.48260593E-2</v>
      </c>
    </row>
    <row r="56" spans="5:12" x14ac:dyDescent="0.2">
      <c r="E56" s="4">
        <v>2.5750000499999999</v>
      </c>
      <c r="F56" s="82">
        <v>8.7046623200000006E-3</v>
      </c>
      <c r="H56" s="4">
        <v>2.5750000499999999</v>
      </c>
      <c r="I56" s="82">
        <v>1.8752813300000001E-2</v>
      </c>
      <c r="K56" s="4">
        <v>2.5750000499999999</v>
      </c>
      <c r="L56" s="82">
        <v>2.5203824E-2</v>
      </c>
    </row>
    <row r="57" spans="5:12" x14ac:dyDescent="0.2">
      <c r="E57" s="4">
        <v>2.625</v>
      </c>
      <c r="F57" s="82">
        <v>1.4507770499999999E-3</v>
      </c>
      <c r="H57" s="4">
        <v>2.625</v>
      </c>
      <c r="I57" s="82">
        <v>1.8753409400000001E-2</v>
      </c>
      <c r="K57" s="4">
        <v>2.625</v>
      </c>
      <c r="L57" s="82">
        <v>2.9651522600000001E-2</v>
      </c>
    </row>
    <row r="58" spans="5:12" x14ac:dyDescent="0.2">
      <c r="E58" s="4">
        <v>2.6749999500000001</v>
      </c>
      <c r="F58" s="82">
        <v>4.3517351200000002E-3</v>
      </c>
      <c r="H58" s="4">
        <v>2.6749999500000001</v>
      </c>
      <c r="I58" s="82">
        <v>1.0939240500000001E-2</v>
      </c>
      <c r="K58" s="4">
        <v>2.6749999500000001</v>
      </c>
      <c r="L58" s="82">
        <v>4.4477582000000002E-2</v>
      </c>
    </row>
    <row r="59" spans="5:12" x14ac:dyDescent="0.2">
      <c r="E59" s="4">
        <v>2.7249998999999998</v>
      </c>
      <c r="F59" s="82">
        <v>4.3517351200000002E-3</v>
      </c>
      <c r="H59" s="4">
        <v>2.7249998999999998</v>
      </c>
      <c r="I59" s="82">
        <v>1.0939240500000001E-2</v>
      </c>
      <c r="K59" s="4">
        <v>2.7249998999999998</v>
      </c>
      <c r="L59" s="82">
        <v>2.9651522600000001E-2</v>
      </c>
    </row>
    <row r="60" spans="5:12" x14ac:dyDescent="0.2">
      <c r="E60" s="4">
        <v>2.7749998599999999</v>
      </c>
      <c r="F60" s="82">
        <v>5.8031082200000004E-3</v>
      </c>
      <c r="H60" s="4">
        <v>2.7749998599999999</v>
      </c>
      <c r="I60" s="82">
        <v>1.8752813300000001E-2</v>
      </c>
      <c r="K60" s="4">
        <v>2.7749998599999999</v>
      </c>
      <c r="L60" s="82">
        <v>1.18607283E-2</v>
      </c>
    </row>
    <row r="61" spans="5:12" x14ac:dyDescent="0.2">
      <c r="E61" s="4">
        <v>2.8250000499999999</v>
      </c>
      <c r="F61" s="82">
        <v>1.0155439400000001E-2</v>
      </c>
      <c r="H61" s="4">
        <v>2.8250000499999999</v>
      </c>
      <c r="I61" s="82">
        <v>2.96920538E-2</v>
      </c>
      <c r="K61" s="4">
        <v>2.8250000499999999</v>
      </c>
      <c r="L61" s="82">
        <v>4.4476985900000002E-2</v>
      </c>
    </row>
    <row r="62" spans="5:12" x14ac:dyDescent="0.2">
      <c r="E62" s="4">
        <v>2.875</v>
      </c>
      <c r="F62" s="82">
        <v>1.4507770499999999E-2</v>
      </c>
      <c r="H62" s="4">
        <v>2.875</v>
      </c>
      <c r="I62" s="82">
        <v>2.9692649799999998E-2</v>
      </c>
      <c r="K62" s="4">
        <v>2.875</v>
      </c>
      <c r="L62" s="82">
        <v>5.63377142E-2</v>
      </c>
    </row>
    <row r="63" spans="5:12" x14ac:dyDescent="0.2">
      <c r="E63" s="4">
        <v>2.9249999500000001</v>
      </c>
      <c r="F63" s="82">
        <v>2.0310282700000001E-2</v>
      </c>
      <c r="H63" s="4">
        <v>2.9249999500000001</v>
      </c>
      <c r="I63" s="82">
        <v>5.1570534699999997E-2</v>
      </c>
      <c r="K63" s="4">
        <v>2.9249999500000001</v>
      </c>
      <c r="L63" s="82">
        <v>3.8547515900000003E-2</v>
      </c>
    </row>
    <row r="64" spans="5:12" x14ac:dyDescent="0.2">
      <c r="E64" s="4">
        <v>2.9749998999999998</v>
      </c>
      <c r="F64" s="82">
        <v>2.17610598E-2</v>
      </c>
      <c r="H64" s="4">
        <v>2.9749998999999998</v>
      </c>
      <c r="I64" s="82">
        <v>5.93841076E-2</v>
      </c>
      <c r="K64" s="4">
        <v>2.9749998999999998</v>
      </c>
      <c r="L64" s="82">
        <v>4.2994618399999997E-2</v>
      </c>
    </row>
    <row r="65" spans="5:12" x14ac:dyDescent="0.2">
      <c r="E65" s="4">
        <v>3.0249998599999999</v>
      </c>
      <c r="F65" s="82">
        <v>2.1761655800000002E-2</v>
      </c>
      <c r="H65" s="4">
        <v>3.0249998599999999</v>
      </c>
      <c r="I65" s="82">
        <v>3.2817721399999999E-2</v>
      </c>
      <c r="K65" s="4">
        <v>3.0249998599999999</v>
      </c>
      <c r="L65" s="82">
        <v>5.3372979199999997E-2</v>
      </c>
    </row>
    <row r="66" spans="5:12" x14ac:dyDescent="0.2">
      <c r="E66" s="4">
        <v>3.0750000499999999</v>
      </c>
      <c r="F66" s="82">
        <v>2.4662613900000002E-2</v>
      </c>
      <c r="H66" s="4">
        <v>3.0750000499999999</v>
      </c>
      <c r="I66" s="82">
        <v>2.18784809E-2</v>
      </c>
      <c r="K66" s="4">
        <v>3.0750000499999999</v>
      </c>
      <c r="L66" s="82">
        <v>5.0408244099999999E-2</v>
      </c>
    </row>
    <row r="67" spans="5:12" x14ac:dyDescent="0.2">
      <c r="E67" s="4">
        <v>3.125</v>
      </c>
      <c r="F67" s="82">
        <v>2.9014945E-2</v>
      </c>
      <c r="H67" s="4">
        <v>3.125</v>
      </c>
      <c r="I67" s="82">
        <v>3.9068460499999999E-2</v>
      </c>
      <c r="K67" s="4">
        <v>3.125</v>
      </c>
      <c r="L67" s="82">
        <v>4.1512250899999999E-2</v>
      </c>
    </row>
    <row r="68" spans="5:12" x14ac:dyDescent="0.2">
      <c r="E68" s="4">
        <v>3.1749999500000001</v>
      </c>
      <c r="F68" s="82">
        <v>3.6268830299999999E-2</v>
      </c>
      <c r="H68" s="4">
        <v>3.1749999500000001</v>
      </c>
      <c r="I68" s="82">
        <v>4.2194127999999997E-2</v>
      </c>
      <c r="K68" s="4">
        <v>3.1749999500000001</v>
      </c>
      <c r="L68" s="82">
        <v>4.4476985900000002E-2</v>
      </c>
    </row>
    <row r="69" spans="5:12" x14ac:dyDescent="0.2">
      <c r="E69" s="4">
        <v>3.2249998999999998</v>
      </c>
      <c r="F69" s="82">
        <v>5.0776004800000003E-2</v>
      </c>
      <c r="H69" s="4">
        <v>3.2249998999999998</v>
      </c>
      <c r="I69" s="82">
        <v>3.9068460499999999E-2</v>
      </c>
      <c r="K69" s="4">
        <v>3.2249998999999998</v>
      </c>
      <c r="L69" s="82">
        <v>4.0029287300000001E-2</v>
      </c>
    </row>
    <row r="70" spans="5:12" x14ac:dyDescent="0.2">
      <c r="E70" s="4">
        <v>3.2749998599999999</v>
      </c>
      <c r="F70" s="82">
        <v>7.9790949799999997E-2</v>
      </c>
      <c r="H70" s="4">
        <v>3.2749998599999999</v>
      </c>
      <c r="I70" s="82">
        <v>8.2825422300000007E-2</v>
      </c>
      <c r="K70" s="4">
        <v>3.2749998599999999</v>
      </c>
      <c r="L70" s="82">
        <v>9.6367597599999993E-2</v>
      </c>
    </row>
    <row r="71" spans="5:12" x14ac:dyDescent="0.2">
      <c r="E71" s="4">
        <v>3.3250000499999999</v>
      </c>
      <c r="F71" s="4">
        <v>0.100101233</v>
      </c>
      <c r="H71" s="4">
        <v>3.3250000499999999</v>
      </c>
      <c r="I71" s="4">
        <v>0.12970805199999999</v>
      </c>
      <c r="K71" s="4">
        <v>3.3250000499999999</v>
      </c>
      <c r="L71" s="4">
        <v>0.13639748099999999</v>
      </c>
    </row>
    <row r="72" spans="5:12" x14ac:dyDescent="0.2">
      <c r="E72" s="4">
        <v>3.375</v>
      </c>
      <c r="F72" s="4">
        <v>0.10445416</v>
      </c>
      <c r="H72" s="4">
        <v>3.375</v>
      </c>
      <c r="I72" s="4">
        <v>0.120331049</v>
      </c>
      <c r="K72" s="4">
        <v>3.375</v>
      </c>
      <c r="L72" s="4">
        <v>0.106745958</v>
      </c>
    </row>
    <row r="73" spans="5:12" x14ac:dyDescent="0.2">
      <c r="E73" s="4">
        <v>3.4249999500000001</v>
      </c>
      <c r="F73" s="82">
        <v>9.7200274500000003E-2</v>
      </c>
      <c r="H73" s="4">
        <v>3.4249999500000001</v>
      </c>
      <c r="I73" s="82">
        <v>9.8452568099999999E-2</v>
      </c>
      <c r="K73" s="4">
        <v>3.4249999500000001</v>
      </c>
      <c r="L73" s="82">
        <v>8.4506869299999995E-2</v>
      </c>
    </row>
    <row r="74" spans="5:12" x14ac:dyDescent="0.2">
      <c r="E74" s="4">
        <v>3.4749998999999998</v>
      </c>
      <c r="F74" s="4">
        <v>0.108805895</v>
      </c>
      <c r="H74" s="4">
        <v>3.4749998999999998</v>
      </c>
      <c r="I74" s="4">
        <v>0.11251747600000001</v>
      </c>
      <c r="K74" s="4">
        <v>3.4749998999999998</v>
      </c>
      <c r="L74" s="82">
        <v>8.0059170700000001E-2</v>
      </c>
    </row>
    <row r="75" spans="5:12" x14ac:dyDescent="0.2">
      <c r="E75" s="4">
        <v>3.5249998599999999</v>
      </c>
      <c r="F75" s="4">
        <v>0.113158226</v>
      </c>
      <c r="H75" s="4">
        <v>3.5249998599999999</v>
      </c>
      <c r="I75" s="4">
        <v>0.12345671699999999</v>
      </c>
      <c r="K75" s="4">
        <v>3.5249998599999999</v>
      </c>
      <c r="L75" s="82">
        <v>8.5989832899999993E-2</v>
      </c>
    </row>
    <row r="76" spans="5:12" x14ac:dyDescent="0.2">
      <c r="E76" s="4">
        <v>3.5750000499999999</v>
      </c>
      <c r="F76" s="4">
        <v>0.114609003</v>
      </c>
      <c r="H76" s="4">
        <v>3.5750000499999999</v>
      </c>
      <c r="I76" s="4">
        <v>0.109392405</v>
      </c>
      <c r="K76" s="4">
        <v>3.5750000499999999</v>
      </c>
      <c r="L76" s="82">
        <v>7.4129104599999995E-2</v>
      </c>
    </row>
    <row r="77" spans="5:12" x14ac:dyDescent="0.2">
      <c r="E77" s="4">
        <v>3.625</v>
      </c>
      <c r="F77" s="4">
        <v>0.103003383</v>
      </c>
      <c r="H77" s="4">
        <v>3.625</v>
      </c>
      <c r="I77" s="4">
        <v>0.12814521800000001</v>
      </c>
      <c r="K77" s="4">
        <v>3.625</v>
      </c>
      <c r="L77" s="82">
        <v>8.0059170700000001E-2</v>
      </c>
    </row>
    <row r="78" spans="5:12" x14ac:dyDescent="0.2">
      <c r="E78" s="4">
        <v>3.6749999500000001</v>
      </c>
      <c r="F78" s="82">
        <v>9.1397166299999999E-2</v>
      </c>
      <c r="H78" s="4">
        <v>3.6749999500000001</v>
      </c>
      <c r="I78" s="4">
        <v>0.13752162500000001</v>
      </c>
      <c r="K78" s="4">
        <v>3.6749999500000001</v>
      </c>
      <c r="L78" s="4">
        <v>0.10229826</v>
      </c>
    </row>
    <row r="79" spans="5:12" x14ac:dyDescent="0.2">
      <c r="E79" s="4">
        <v>3.7249998999999998</v>
      </c>
      <c r="F79" s="4">
        <v>0.13056695500000001</v>
      </c>
      <c r="H79" s="4">
        <v>3.7249998999999998</v>
      </c>
      <c r="I79" s="4">
        <v>0.12814521800000001</v>
      </c>
      <c r="K79" s="4">
        <v>3.7249998999999998</v>
      </c>
      <c r="L79" s="4">
        <v>0.109710693</v>
      </c>
    </row>
    <row r="80" spans="5:12" x14ac:dyDescent="0.2">
      <c r="E80" s="4">
        <v>3.7749998599999999</v>
      </c>
      <c r="F80" s="4">
        <v>0.110256672</v>
      </c>
      <c r="H80" s="4">
        <v>3.7749998599999999</v>
      </c>
      <c r="I80" s="4">
        <v>0.15314876999999999</v>
      </c>
      <c r="K80" s="4">
        <v>3.7749998599999999</v>
      </c>
      <c r="L80" s="4">
        <v>0.115640759</v>
      </c>
    </row>
    <row r="81" spans="5:12" x14ac:dyDescent="0.2">
      <c r="E81" s="4">
        <v>3.8250000499999999</v>
      </c>
      <c r="F81" s="82">
        <v>7.5438618700000001E-2</v>
      </c>
      <c r="H81" s="4">
        <v>3.8250000499999999</v>
      </c>
      <c r="I81" s="4">
        <v>0.15314876999999999</v>
      </c>
      <c r="K81" s="4">
        <v>3.8250000499999999</v>
      </c>
      <c r="L81" s="4">
        <v>0.111193657</v>
      </c>
    </row>
    <row r="82" spans="5:12" x14ac:dyDescent="0.2">
      <c r="E82" s="4">
        <v>3.875</v>
      </c>
      <c r="F82" s="82">
        <v>7.2537064600000006E-2</v>
      </c>
      <c r="H82" s="4">
        <v>3.875</v>
      </c>
      <c r="I82" s="4">
        <v>0.14220953</v>
      </c>
      <c r="K82" s="4">
        <v>3.875</v>
      </c>
      <c r="L82" s="4">
        <v>0.108228326</v>
      </c>
    </row>
    <row r="83" spans="5:12" x14ac:dyDescent="0.2">
      <c r="E83" s="4">
        <v>3.9249999500000001</v>
      </c>
      <c r="F83" s="82">
        <v>6.3832998299999999E-2</v>
      </c>
      <c r="H83" s="4">
        <v>3.9249999500000001</v>
      </c>
      <c r="I83" s="4">
        <v>0.14220953</v>
      </c>
      <c r="K83" s="4">
        <v>3.9249999500000001</v>
      </c>
      <c r="L83" s="4">
        <v>0.146775246</v>
      </c>
    </row>
    <row r="84" spans="5:12" x14ac:dyDescent="0.2">
      <c r="E84" s="4">
        <v>3.9749998999999998</v>
      </c>
      <c r="F84" s="82">
        <v>6.8185329399999994E-2</v>
      </c>
      <c r="H84" s="4">
        <v>3.9749998999999998</v>
      </c>
      <c r="I84" s="4">
        <v>0.12970805199999999</v>
      </c>
      <c r="K84" s="4">
        <v>3.9749998999999998</v>
      </c>
      <c r="L84" s="4">
        <v>0.14084517999999999</v>
      </c>
    </row>
    <row r="85" spans="5:12" x14ac:dyDescent="0.2">
      <c r="E85" s="4">
        <v>4.0250000999999997</v>
      </c>
      <c r="F85" s="82">
        <v>8.5594058000000001E-2</v>
      </c>
      <c r="H85" s="4">
        <v>4.0250000999999997</v>
      </c>
      <c r="I85" s="4">
        <v>0.10001599799999999</v>
      </c>
      <c r="K85" s="4">
        <v>4.0250000999999997</v>
      </c>
      <c r="L85" s="4">
        <v>0.115641356</v>
      </c>
    </row>
    <row r="86" spans="5:12" x14ac:dyDescent="0.2">
      <c r="E86" s="4">
        <v>4.0749998099999996</v>
      </c>
      <c r="F86" s="4">
        <v>0.100101233</v>
      </c>
      <c r="H86" s="4">
        <v>4.0749998099999996</v>
      </c>
      <c r="I86" s="4">
        <v>0.117205381</v>
      </c>
      <c r="K86" s="4">
        <v>4.0749998099999996</v>
      </c>
      <c r="L86" s="4">
        <v>0.12750208399999999</v>
      </c>
    </row>
    <row r="87" spans="5:12" x14ac:dyDescent="0.2">
      <c r="E87" s="4">
        <v>4.125</v>
      </c>
      <c r="F87" s="82">
        <v>8.5594058000000001E-2</v>
      </c>
      <c r="H87" s="4">
        <v>4.125</v>
      </c>
      <c r="I87" s="4">
        <v>0.118768215</v>
      </c>
      <c r="K87" s="4">
        <v>4.125</v>
      </c>
      <c r="L87" s="4">
        <v>0.13046681900000001</v>
      </c>
    </row>
    <row r="88" spans="5:12" x14ac:dyDescent="0.2">
      <c r="E88" s="4">
        <v>4.1750001900000004</v>
      </c>
      <c r="F88" s="82">
        <v>7.6889991800000002E-2</v>
      </c>
      <c r="H88" s="4">
        <v>4.1750001900000004</v>
      </c>
      <c r="I88" s="4">
        <v>0.11408031</v>
      </c>
      <c r="K88" s="4">
        <v>4.1750001900000004</v>
      </c>
      <c r="L88" s="4">
        <v>0.13491451700000001</v>
      </c>
    </row>
    <row r="89" spans="5:12" x14ac:dyDescent="0.2">
      <c r="E89" s="4">
        <v>4.2249999000000003</v>
      </c>
      <c r="F89" s="82">
        <v>8.7044835099999995E-2</v>
      </c>
      <c r="H89" s="4">
        <v>4.2249999000000003</v>
      </c>
      <c r="I89" s="4">
        <v>0.14689803100000001</v>
      </c>
      <c r="K89" s="4">
        <v>4.2249999000000003</v>
      </c>
      <c r="L89" s="4">
        <v>0.112676024</v>
      </c>
    </row>
    <row r="90" spans="5:12" x14ac:dyDescent="0.2">
      <c r="E90" s="4">
        <v>4.2750000999999997</v>
      </c>
      <c r="F90" s="82">
        <v>7.6889395700000002E-2</v>
      </c>
      <c r="H90" s="4">
        <v>4.2750000999999997</v>
      </c>
      <c r="I90" s="4">
        <v>0.13752162500000001</v>
      </c>
      <c r="K90" s="4">
        <v>4.2750000999999997</v>
      </c>
      <c r="L90" s="4">
        <v>0.13194978199999999</v>
      </c>
    </row>
    <row r="91" spans="5:12" x14ac:dyDescent="0.2">
      <c r="E91" s="4">
        <v>4.3249998099999996</v>
      </c>
      <c r="F91" s="82">
        <v>7.6889991800000002E-2</v>
      </c>
      <c r="H91" s="4">
        <v>4.3249998099999996</v>
      </c>
      <c r="I91" s="4">
        <v>0.120331049</v>
      </c>
      <c r="K91" s="4">
        <v>4.3249998099999996</v>
      </c>
      <c r="L91" s="4">
        <v>0.152705908</v>
      </c>
    </row>
    <row r="92" spans="5:12" x14ac:dyDescent="0.2">
      <c r="E92" s="4">
        <v>4.375</v>
      </c>
      <c r="F92" s="82">
        <v>8.5594058000000001E-2</v>
      </c>
      <c r="H92" s="4">
        <v>4.375</v>
      </c>
      <c r="I92" s="82">
        <v>9.3764662700000001E-2</v>
      </c>
      <c r="K92" s="4">
        <v>4.375</v>
      </c>
      <c r="L92" s="4">
        <v>0.13639748099999999</v>
      </c>
    </row>
    <row r="93" spans="5:12" x14ac:dyDescent="0.2">
      <c r="E93" s="4">
        <v>4.4250001900000004</v>
      </c>
      <c r="F93" s="4">
        <v>0.103002787</v>
      </c>
      <c r="H93" s="4">
        <v>4.4250001900000004</v>
      </c>
      <c r="I93" s="82">
        <v>7.3449015600000001E-2</v>
      </c>
      <c r="K93" s="4">
        <v>4.4250001900000004</v>
      </c>
      <c r="L93" s="4">
        <v>0.17642676800000001</v>
      </c>
    </row>
    <row r="94" spans="5:12" x14ac:dyDescent="0.2">
      <c r="E94" s="4">
        <v>4.4749999000000003</v>
      </c>
      <c r="F94" s="4">
        <v>0.101552606</v>
      </c>
      <c r="H94" s="4">
        <v>4.4749999000000003</v>
      </c>
      <c r="I94" s="4">
        <v>0.12814521800000001</v>
      </c>
      <c r="K94" s="4">
        <v>4.4749999000000003</v>
      </c>
      <c r="L94" s="4">
        <v>0.16308367300000001</v>
      </c>
    </row>
    <row r="95" spans="5:12" x14ac:dyDescent="0.2">
      <c r="E95" s="4">
        <v>4.5250000999999997</v>
      </c>
      <c r="F95" s="82">
        <v>6.5283775299999999E-2</v>
      </c>
      <c r="H95" s="4">
        <v>4.5250000999999997</v>
      </c>
      <c r="I95" s="4">
        <v>0.15002369900000001</v>
      </c>
      <c r="K95" s="4">
        <v>4.5250000999999997</v>
      </c>
      <c r="L95" s="4">
        <v>0.14232814299999999</v>
      </c>
    </row>
    <row r="96" spans="5:12" x14ac:dyDescent="0.2">
      <c r="E96" s="4">
        <v>4.5749998099999996</v>
      </c>
      <c r="F96" s="82">
        <v>6.6733956299999994E-2</v>
      </c>
      <c r="H96" s="4">
        <v>4.5749998099999996</v>
      </c>
      <c r="I96" s="4">
        <v>0.12658238399999999</v>
      </c>
      <c r="K96" s="4">
        <v>4.5749998099999996</v>
      </c>
      <c r="L96" s="4">
        <v>0.15270531200000001</v>
      </c>
    </row>
    <row r="97" spans="5:12" x14ac:dyDescent="0.2">
      <c r="E97" s="4">
        <v>4.625</v>
      </c>
      <c r="F97" s="82">
        <v>8.4143281E-2</v>
      </c>
      <c r="H97" s="4">
        <v>4.625</v>
      </c>
      <c r="I97" s="4">
        <v>0.13908445799999999</v>
      </c>
      <c r="K97" s="4">
        <v>4.625</v>
      </c>
      <c r="L97" s="4">
        <v>0.117123723</v>
      </c>
    </row>
    <row r="98" spans="5:12" x14ac:dyDescent="0.2">
      <c r="E98" s="4">
        <v>4.6750001900000004</v>
      </c>
      <c r="F98" s="82">
        <v>8.2693100000000005E-2</v>
      </c>
      <c r="H98" s="4">
        <v>4.6750001900000004</v>
      </c>
      <c r="I98" s="4">
        <v>0.13439595700000001</v>
      </c>
      <c r="K98" s="4">
        <v>4.6750001900000004</v>
      </c>
      <c r="L98" s="4">
        <v>0.108228326</v>
      </c>
    </row>
    <row r="99" spans="5:12" x14ac:dyDescent="0.2">
      <c r="E99" s="4">
        <v>4.7249999000000003</v>
      </c>
      <c r="F99" s="82">
        <v>8.4143281E-2</v>
      </c>
      <c r="H99" s="4">
        <v>4.7249999000000003</v>
      </c>
      <c r="I99" s="82">
        <v>9.6889734300000002E-2</v>
      </c>
      <c r="K99" s="4">
        <v>4.7249999000000003</v>
      </c>
      <c r="L99" s="4">
        <v>0.118606091</v>
      </c>
    </row>
    <row r="100" spans="5:12" x14ac:dyDescent="0.2">
      <c r="E100" s="4">
        <v>4.7750000999999997</v>
      </c>
      <c r="F100" s="82">
        <v>9.8650455499999998E-2</v>
      </c>
      <c r="H100" s="4">
        <v>4.7750000999999997</v>
      </c>
      <c r="I100" s="82">
        <v>7.8136920900000004E-2</v>
      </c>
      <c r="K100" s="4">
        <v>4.7750000999999997</v>
      </c>
      <c r="L100" s="4">
        <v>0.14974057700000001</v>
      </c>
    </row>
    <row r="101" spans="5:12" x14ac:dyDescent="0.2">
      <c r="E101" s="4">
        <v>4.8249998099999996</v>
      </c>
      <c r="F101" s="4">
        <v>0.113158226</v>
      </c>
      <c r="H101" s="4">
        <v>4.8249998099999996</v>
      </c>
      <c r="I101" s="4">
        <v>0.12345671699999999</v>
      </c>
      <c r="K101" s="4">
        <v>4.8249998099999996</v>
      </c>
      <c r="L101" s="4">
        <v>0.19273579099999999</v>
      </c>
    </row>
    <row r="102" spans="5:12" x14ac:dyDescent="0.2">
      <c r="E102" s="4">
        <v>4.875</v>
      </c>
      <c r="F102" s="4">
        <v>0.101552606</v>
      </c>
      <c r="H102" s="4">
        <v>4.875</v>
      </c>
      <c r="I102" s="4">
        <v>0.154711604</v>
      </c>
      <c r="K102" s="4">
        <v>4.875</v>
      </c>
      <c r="L102" s="4">
        <v>0.167531967</v>
      </c>
    </row>
    <row r="103" spans="5:12" x14ac:dyDescent="0.2">
      <c r="E103" s="4">
        <v>4.9250001900000004</v>
      </c>
      <c r="F103" s="82">
        <v>6.9636106500000003E-2</v>
      </c>
      <c r="H103" s="4">
        <v>4.9250001900000004</v>
      </c>
      <c r="I103" s="4">
        <v>0.17971575300000001</v>
      </c>
      <c r="K103" s="4">
        <v>4.9250001900000004</v>
      </c>
      <c r="L103" s="4">
        <v>0.136396885</v>
      </c>
    </row>
    <row r="104" spans="5:12" x14ac:dyDescent="0.2">
      <c r="E104" s="4">
        <v>4.9749999000000003</v>
      </c>
      <c r="F104" s="82">
        <v>9.7199678400000003E-2</v>
      </c>
      <c r="H104" s="4">
        <v>4.9749999000000003</v>
      </c>
      <c r="I104" s="4">
        <v>0.14064729200000001</v>
      </c>
      <c r="K104" s="4">
        <v>4.9749999000000003</v>
      </c>
      <c r="L104" s="4">
        <v>0.12601912000000001</v>
      </c>
    </row>
    <row r="105" spans="5:12" x14ac:dyDescent="0.2">
      <c r="E105" s="4">
        <v>5.0250000999999997</v>
      </c>
      <c r="F105" s="4">
        <v>0.11605978</v>
      </c>
      <c r="H105" s="4">
        <v>5.0250000999999997</v>
      </c>
      <c r="I105" s="82">
        <v>8.4388256100000003E-2</v>
      </c>
      <c r="K105" s="4">
        <v>5.0250000999999997</v>
      </c>
      <c r="L105" s="82">
        <v>7.8576803200000003E-2</v>
      </c>
    </row>
    <row r="106" spans="5:12" x14ac:dyDescent="0.2">
      <c r="E106" s="4">
        <v>5.0749998099999996</v>
      </c>
      <c r="F106" s="4">
        <v>0.107355118</v>
      </c>
      <c r="H106" s="4">
        <v>5.0749998099999996</v>
      </c>
      <c r="I106" s="4">
        <v>0.12189388299999999</v>
      </c>
      <c r="K106" s="4">
        <v>5.0749998099999996</v>
      </c>
      <c r="L106" s="82">
        <v>4.2994618399999997E-2</v>
      </c>
    </row>
    <row r="107" spans="5:12" x14ac:dyDescent="0.2">
      <c r="E107" s="4">
        <v>5.125</v>
      </c>
      <c r="F107" s="4">
        <v>0.107355118</v>
      </c>
      <c r="H107" s="4">
        <v>5.125</v>
      </c>
      <c r="I107" s="4">
        <v>0.13127028900000001</v>
      </c>
      <c r="K107" s="4">
        <v>5.125</v>
      </c>
      <c r="L107" s="82">
        <v>9.4885230099999995E-2</v>
      </c>
    </row>
    <row r="108" spans="5:12" x14ac:dyDescent="0.2">
      <c r="E108" s="4">
        <v>5.1750001900000004</v>
      </c>
      <c r="F108" s="4">
        <v>0.100101829</v>
      </c>
      <c r="H108" s="4">
        <v>5.1750001900000004</v>
      </c>
      <c r="I108" s="4">
        <v>0.135958791</v>
      </c>
      <c r="K108" s="4">
        <v>5.1750001900000004</v>
      </c>
      <c r="L108" s="4">
        <v>0.106745958</v>
      </c>
    </row>
    <row r="109" spans="5:12" x14ac:dyDescent="0.2">
      <c r="E109" s="4">
        <v>5.2249999000000003</v>
      </c>
      <c r="F109" s="4">
        <v>0.105904341</v>
      </c>
      <c r="H109" s="4">
        <v>5.2249999000000003</v>
      </c>
      <c r="I109" s="4">
        <v>0.15940010499999999</v>
      </c>
      <c r="K109" s="4">
        <v>5.2249999000000003</v>
      </c>
      <c r="L109" s="82">
        <v>7.2646141100000006E-2</v>
      </c>
    </row>
    <row r="110" spans="5:12" x14ac:dyDescent="0.2">
      <c r="E110" s="4">
        <v>5.2750000999999997</v>
      </c>
      <c r="F110" s="4">
        <v>0.108805895</v>
      </c>
      <c r="H110" s="4">
        <v>5.2750000999999997</v>
      </c>
      <c r="I110" s="4">
        <v>0.145335197</v>
      </c>
      <c r="K110" s="4">
        <v>5.2750000999999997</v>
      </c>
      <c r="L110" s="82">
        <v>9.4885230099999995E-2</v>
      </c>
    </row>
    <row r="111" spans="5:12" x14ac:dyDescent="0.2">
      <c r="E111" s="4">
        <v>5.3249998099999996</v>
      </c>
      <c r="F111" s="4">
        <v>0.100101829</v>
      </c>
      <c r="H111" s="4">
        <v>5.3249998099999996</v>
      </c>
      <c r="I111" s="4">
        <v>0.16408801100000001</v>
      </c>
      <c r="K111" s="4">
        <v>5.3249998099999996</v>
      </c>
      <c r="L111" s="82">
        <v>8.7472200400000005E-2</v>
      </c>
    </row>
    <row r="112" spans="5:12" x14ac:dyDescent="0.2">
      <c r="E112" s="4">
        <v>5.375</v>
      </c>
      <c r="F112" s="82">
        <v>9.5749497399999994E-2</v>
      </c>
      <c r="H112" s="4">
        <v>5.375</v>
      </c>
      <c r="I112" s="4">
        <v>0.167213678</v>
      </c>
      <c r="K112" s="4">
        <v>5.375</v>
      </c>
      <c r="L112" s="4">
        <v>0.121571422</v>
      </c>
    </row>
    <row r="113" spans="5:12" x14ac:dyDescent="0.2">
      <c r="E113" s="4">
        <v>5.4250001900000004</v>
      </c>
      <c r="F113" s="4">
        <v>0.104453564</v>
      </c>
      <c r="H113" s="4">
        <v>5.4250001900000004</v>
      </c>
      <c r="I113" s="4">
        <v>0.117205977</v>
      </c>
      <c r="K113" s="4">
        <v>5.4250001900000004</v>
      </c>
      <c r="L113" s="4">
        <v>0.128984451</v>
      </c>
    </row>
    <row r="114" spans="5:12" x14ac:dyDescent="0.2">
      <c r="E114" s="4">
        <v>5.4749999000000003</v>
      </c>
      <c r="F114" s="4">
        <v>0.13637006300000001</v>
      </c>
      <c r="H114" s="4">
        <v>5.4749999000000003</v>
      </c>
      <c r="I114" s="4">
        <v>0.151585937</v>
      </c>
      <c r="K114" s="4">
        <v>5.4749999000000003</v>
      </c>
      <c r="L114" s="4">
        <v>0.112676024</v>
      </c>
    </row>
    <row r="115" spans="5:12" x14ac:dyDescent="0.2">
      <c r="E115" s="4">
        <v>5.5250000999999997</v>
      </c>
      <c r="F115" s="4">
        <v>0.134919286</v>
      </c>
      <c r="H115" s="4">
        <v>5.5250000999999997</v>
      </c>
      <c r="I115" s="4">
        <v>0.16408801100000001</v>
      </c>
      <c r="K115" s="4">
        <v>5.5250000999999997</v>
      </c>
      <c r="L115" s="4">
        <v>0.115641356</v>
      </c>
    </row>
    <row r="116" spans="5:12" x14ac:dyDescent="0.2">
      <c r="E116" s="4">
        <v>5.5749998099999996</v>
      </c>
      <c r="F116" s="82">
        <v>9.8651051500000003E-2</v>
      </c>
      <c r="H116" s="4">
        <v>5.5749998099999996</v>
      </c>
      <c r="I116" s="4">
        <v>0.12658238399999999</v>
      </c>
      <c r="K116" s="4">
        <v>5.5749998099999996</v>
      </c>
      <c r="L116" s="82">
        <v>6.6716074900000005E-2</v>
      </c>
    </row>
    <row r="117" spans="5:12" x14ac:dyDescent="0.2">
      <c r="E117" s="4">
        <v>5.625</v>
      </c>
      <c r="F117" s="4">
        <v>0.103003383</v>
      </c>
      <c r="H117" s="4">
        <v>5.625</v>
      </c>
      <c r="I117" s="82">
        <v>9.6890330299999994E-2</v>
      </c>
      <c r="K117" s="4">
        <v>5.625</v>
      </c>
      <c r="L117" s="82">
        <v>7.7094435700000005E-2</v>
      </c>
    </row>
    <row r="118" spans="5:12" x14ac:dyDescent="0.2">
      <c r="E118" s="4">
        <v>5.6750001900000004</v>
      </c>
      <c r="F118" s="4">
        <v>0.12766540100000001</v>
      </c>
      <c r="H118" s="4">
        <v>5.6750001900000004</v>
      </c>
      <c r="I118" s="82">
        <v>9.8453164100000004E-2</v>
      </c>
      <c r="K118" s="4">
        <v>5.6750001900000004</v>
      </c>
      <c r="L118" s="4">
        <v>0.117123723</v>
      </c>
    </row>
    <row r="119" spans="5:12" x14ac:dyDescent="0.2">
      <c r="E119" s="4">
        <v>5.7249999000000003</v>
      </c>
      <c r="F119" s="4">
        <v>0.110256672</v>
      </c>
      <c r="H119" s="4">
        <v>5.7249999000000003</v>
      </c>
      <c r="I119" s="4">
        <v>0.11251747600000001</v>
      </c>
      <c r="K119" s="4">
        <v>5.7249999000000003</v>
      </c>
      <c r="L119" s="82">
        <v>9.4884633999999995E-2</v>
      </c>
    </row>
    <row r="120" spans="5:12" x14ac:dyDescent="0.2">
      <c r="E120" s="4">
        <v>5.7750000999999997</v>
      </c>
      <c r="F120" s="82">
        <v>8.8495612099999996E-2</v>
      </c>
      <c r="H120" s="4">
        <v>5.7750000999999997</v>
      </c>
      <c r="I120" s="4">
        <v>0.15783667600000001</v>
      </c>
      <c r="K120" s="4">
        <v>5.7750000999999997</v>
      </c>
      <c r="L120" s="82">
        <v>6.9681406000000001E-2</v>
      </c>
    </row>
    <row r="121" spans="5:12" x14ac:dyDescent="0.2">
      <c r="E121" s="4">
        <v>5.8249998099999996</v>
      </c>
      <c r="F121" s="82">
        <v>8.4143281E-2</v>
      </c>
      <c r="H121" s="4">
        <v>5.8249998099999996</v>
      </c>
      <c r="I121" s="4">
        <v>0.13908445799999999</v>
      </c>
      <c r="K121" s="4">
        <v>5.8249998099999996</v>
      </c>
      <c r="L121" s="82">
        <v>9.4885230099999995E-2</v>
      </c>
    </row>
    <row r="122" spans="5:12" x14ac:dyDescent="0.2">
      <c r="E122" s="4">
        <v>5.875</v>
      </c>
      <c r="F122" s="82">
        <v>8.8495612099999996E-2</v>
      </c>
      <c r="H122" s="4">
        <v>5.875</v>
      </c>
      <c r="I122" s="82">
        <v>5.9384703599999998E-2</v>
      </c>
      <c r="K122" s="4">
        <v>5.875</v>
      </c>
      <c r="L122" s="82">
        <v>9.3402266499999997E-2</v>
      </c>
    </row>
    <row r="123" spans="5:12" x14ac:dyDescent="0.2">
      <c r="E123" s="4">
        <v>5.9250001900000004</v>
      </c>
      <c r="F123" s="4">
        <v>0.11605978</v>
      </c>
      <c r="H123" s="4">
        <v>5.9250001900000004</v>
      </c>
      <c r="I123" s="82">
        <v>7.1886181800000004E-2</v>
      </c>
      <c r="K123" s="4">
        <v>5.9250001900000004</v>
      </c>
      <c r="L123" s="4">
        <v>0.105262995</v>
      </c>
    </row>
    <row r="124" spans="5:12" x14ac:dyDescent="0.2">
      <c r="E124" s="4">
        <v>5.9749999000000003</v>
      </c>
      <c r="F124" s="4">
        <v>0.146525502</v>
      </c>
      <c r="H124" s="4">
        <v>5.9749999000000003</v>
      </c>
      <c r="I124" s="82">
        <v>7.6574087099999993E-2</v>
      </c>
      <c r="K124" s="4">
        <v>5.9749999000000003</v>
      </c>
      <c r="L124" s="4">
        <v>0.100815296</v>
      </c>
    </row>
    <row r="125" spans="5:12" x14ac:dyDescent="0.2">
      <c r="E125" s="4">
        <v>6.0250000999999997</v>
      </c>
      <c r="F125" s="4">
        <v>0.143623948</v>
      </c>
      <c r="H125" s="4">
        <v>6.0250000999999997</v>
      </c>
      <c r="I125" s="82">
        <v>8.59504938E-2</v>
      </c>
      <c r="K125" s="4">
        <v>6.0250000999999997</v>
      </c>
      <c r="L125" s="82">
        <v>8.3024501799999997E-2</v>
      </c>
    </row>
    <row r="126" spans="5:12" x14ac:dyDescent="0.2">
      <c r="E126" s="4">
        <v>6.0749998099999996</v>
      </c>
      <c r="F126" s="82">
        <v>9.7200274500000003E-2</v>
      </c>
      <c r="H126" s="4">
        <v>6.0749998099999996</v>
      </c>
      <c r="I126" s="82">
        <v>9.2202425000000005E-2</v>
      </c>
      <c r="K126" s="4">
        <v>6.0749998099999996</v>
      </c>
      <c r="L126" s="4">
        <v>0.143810511</v>
      </c>
    </row>
    <row r="127" spans="5:12" x14ac:dyDescent="0.2">
      <c r="E127" s="4">
        <v>6.125</v>
      </c>
      <c r="F127" s="82">
        <v>7.8340172799999996E-2</v>
      </c>
      <c r="H127" s="4">
        <v>6.125</v>
      </c>
      <c r="I127" s="82">
        <v>7.0323944099999994E-2</v>
      </c>
      <c r="K127" s="4">
        <v>6.125</v>
      </c>
      <c r="L127" s="4">
        <v>0.128984451</v>
      </c>
    </row>
    <row r="128" spans="5:12" x14ac:dyDescent="0.2">
      <c r="E128" s="4">
        <v>6.1750001900000004</v>
      </c>
      <c r="F128" s="4">
        <v>0.111707449</v>
      </c>
      <c r="H128" s="4">
        <v>6.1750001900000004</v>
      </c>
      <c r="I128" s="82">
        <v>8.59504938E-2</v>
      </c>
      <c r="K128" s="4">
        <v>6.1750001900000004</v>
      </c>
      <c r="L128" s="82">
        <v>6.9681406000000001E-2</v>
      </c>
    </row>
    <row r="129" spans="5:12" x14ac:dyDescent="0.2">
      <c r="E129" s="4">
        <v>6.2249999000000003</v>
      </c>
      <c r="F129" s="4">
        <v>0.14362454399999999</v>
      </c>
      <c r="H129" s="4">
        <v>6.2249999000000003</v>
      </c>
      <c r="I129" s="82">
        <v>9.3764662700000001E-2</v>
      </c>
      <c r="K129" s="4">
        <v>6.2249999000000003</v>
      </c>
      <c r="L129" s="82">
        <v>6.8199038500000003E-2</v>
      </c>
    </row>
    <row r="130" spans="5:12" x14ac:dyDescent="0.2">
      <c r="E130" s="4">
        <v>6.2750000999999997</v>
      </c>
      <c r="F130" s="4">
        <v>0.13056695500000001</v>
      </c>
      <c r="H130" s="4">
        <v>6.2750000999999997</v>
      </c>
      <c r="I130" s="4">
        <v>0.11251747600000001</v>
      </c>
      <c r="K130" s="4">
        <v>6.2750000999999997</v>
      </c>
      <c r="L130" s="82">
        <v>8.8954567900000003E-2</v>
      </c>
    </row>
    <row r="131" spans="5:12" x14ac:dyDescent="0.2">
      <c r="E131" s="4">
        <v>6.3249998099999996</v>
      </c>
      <c r="F131" s="4">
        <v>0.16393423100000001</v>
      </c>
      <c r="H131" s="4">
        <v>6.3249998099999996</v>
      </c>
      <c r="I131" s="4">
        <v>0.184403658</v>
      </c>
      <c r="K131" s="4">
        <v>6.3249998099999996</v>
      </c>
      <c r="L131" s="82">
        <v>8.7472200400000005E-2</v>
      </c>
    </row>
    <row r="132" spans="5:12" x14ac:dyDescent="0.2">
      <c r="E132" s="4">
        <v>6.375</v>
      </c>
      <c r="F132" s="4">
        <v>0.14797627899999999</v>
      </c>
      <c r="H132" s="4">
        <v>6.375</v>
      </c>
      <c r="I132" s="4">
        <v>0.17971575300000001</v>
      </c>
      <c r="K132" s="4">
        <v>6.375</v>
      </c>
      <c r="L132" s="82">
        <v>8.1541538199999999E-2</v>
      </c>
    </row>
    <row r="133" spans="5:12" x14ac:dyDescent="0.2">
      <c r="E133" s="4">
        <v>6.4250001900000004</v>
      </c>
      <c r="F133" s="4">
        <v>0.14507472499999999</v>
      </c>
      <c r="H133" s="4">
        <v>6.4250001900000004</v>
      </c>
      <c r="I133" s="4">
        <v>0.19221723099999999</v>
      </c>
      <c r="K133" s="4">
        <v>6.4250001900000004</v>
      </c>
      <c r="L133" s="82">
        <v>7.5611472099999993E-2</v>
      </c>
    </row>
    <row r="134" spans="5:12" x14ac:dyDescent="0.2">
      <c r="E134" s="4">
        <v>6.4749999000000003</v>
      </c>
      <c r="F134" s="4">
        <v>0.176991224</v>
      </c>
      <c r="H134" s="4">
        <v>6.4749999000000003</v>
      </c>
      <c r="I134" s="4">
        <v>0.184403658</v>
      </c>
      <c r="K134" s="4">
        <v>6.4749999000000003</v>
      </c>
      <c r="L134" s="82">
        <v>8.1542134299999999E-2</v>
      </c>
    </row>
    <row r="135" spans="5:12" x14ac:dyDescent="0.2">
      <c r="E135" s="4">
        <v>6.5250000999999997</v>
      </c>
      <c r="F135" s="4">
        <v>0.12766540100000001</v>
      </c>
      <c r="H135" s="4">
        <v>6.5250000999999997</v>
      </c>
      <c r="I135" s="4">
        <v>0.10157883199999999</v>
      </c>
      <c r="K135" s="4">
        <v>6.5250000999999997</v>
      </c>
      <c r="L135" s="82">
        <v>9.4885230099999995E-2</v>
      </c>
    </row>
    <row r="136" spans="5:12" x14ac:dyDescent="0.2">
      <c r="E136" s="4">
        <v>6.5749998099999996</v>
      </c>
      <c r="F136" s="4">
        <v>0.146525502</v>
      </c>
      <c r="H136" s="4">
        <v>6.5749998099999996</v>
      </c>
      <c r="I136" s="4">
        <v>0.103141069</v>
      </c>
      <c r="K136" s="4">
        <v>6.5749998099999996</v>
      </c>
      <c r="L136" s="82">
        <v>7.7094435700000005E-2</v>
      </c>
    </row>
    <row r="137" spans="5:12" x14ac:dyDescent="0.2">
      <c r="E137" s="4">
        <v>6.625</v>
      </c>
      <c r="F137" s="4">
        <v>0.14072298999999999</v>
      </c>
      <c r="H137" s="4">
        <v>6.625</v>
      </c>
      <c r="I137" s="4">
        <v>0.11408031</v>
      </c>
      <c r="K137" s="4">
        <v>6.625</v>
      </c>
      <c r="L137" s="82">
        <v>8.0059170700000001E-2</v>
      </c>
    </row>
    <row r="138" spans="5:12" x14ac:dyDescent="0.2">
      <c r="E138" s="4">
        <v>6.6750001900000004</v>
      </c>
      <c r="F138" s="4">
        <v>0.121862888</v>
      </c>
      <c r="H138" s="4">
        <v>6.6750001900000004</v>
      </c>
      <c r="I138" s="4">
        <v>0.121894479</v>
      </c>
      <c r="K138" s="4">
        <v>6.6750001900000004</v>
      </c>
      <c r="L138" s="82">
        <v>9.3402266499999997E-2</v>
      </c>
    </row>
    <row r="139" spans="5:12" x14ac:dyDescent="0.2">
      <c r="E139" s="4">
        <v>6.7249999000000003</v>
      </c>
      <c r="F139" s="4">
        <v>0.15522956800000001</v>
      </c>
      <c r="H139" s="4">
        <v>6.7249999000000003</v>
      </c>
      <c r="I139" s="4">
        <v>0.17033875000000001</v>
      </c>
      <c r="K139" s="4">
        <v>6.7249999000000003</v>
      </c>
      <c r="L139" s="4">
        <v>0.112676024</v>
      </c>
    </row>
    <row r="140" spans="5:12" x14ac:dyDescent="0.2">
      <c r="E140" s="4">
        <v>6.7750000999999997</v>
      </c>
      <c r="F140" s="4">
        <v>0.26258528199999998</v>
      </c>
      <c r="H140" s="4">
        <v>6.7750000999999997</v>
      </c>
      <c r="I140" s="4">
        <v>0.25628983999999999</v>
      </c>
      <c r="K140" s="4">
        <v>6.7750000999999997</v>
      </c>
      <c r="L140" s="4">
        <v>0.20459592300000001</v>
      </c>
    </row>
    <row r="141" spans="5:12" x14ac:dyDescent="0.2">
      <c r="E141" s="4">
        <v>6.8249998099999996</v>
      </c>
      <c r="F141" s="4">
        <v>0.2103585</v>
      </c>
      <c r="H141" s="4">
        <v>6.8249998099999996</v>
      </c>
      <c r="I141" s="4">
        <v>0.17971575300000001</v>
      </c>
      <c r="K141" s="4">
        <v>6.8249998099999996</v>
      </c>
      <c r="L141" s="4">
        <v>0.31727194800000003</v>
      </c>
    </row>
    <row r="142" spans="5:12" x14ac:dyDescent="0.2">
      <c r="E142" s="4">
        <v>6.875</v>
      </c>
      <c r="F142" s="82">
        <v>7.6889395700000002E-2</v>
      </c>
      <c r="H142" s="4">
        <v>6.875</v>
      </c>
      <c r="I142" s="82">
        <v>6.4072608899999994E-2</v>
      </c>
      <c r="K142" s="4">
        <v>6.875</v>
      </c>
      <c r="L142" s="4">
        <v>0.19570052600000001</v>
      </c>
    </row>
    <row r="143" spans="5:12" x14ac:dyDescent="0.2">
      <c r="E143" s="4">
        <v>6.9250001900000004</v>
      </c>
      <c r="F143" s="82">
        <v>9.8650455499999998E-2</v>
      </c>
      <c r="H143" s="4">
        <v>6.9250001900000004</v>
      </c>
      <c r="I143" s="82">
        <v>9.0638995200000003E-2</v>
      </c>
      <c r="K143" s="4">
        <v>6.9250001900000004</v>
      </c>
      <c r="L143" s="82">
        <v>5.3372979199999997E-2</v>
      </c>
    </row>
    <row r="144" spans="5:12" x14ac:dyDescent="0.2">
      <c r="E144" s="4">
        <v>6.9749999000000003</v>
      </c>
      <c r="F144" s="82">
        <v>8.9946389200000004E-2</v>
      </c>
      <c r="H144" s="4">
        <v>6.9749999000000003</v>
      </c>
      <c r="I144" s="82">
        <v>7.1886181800000004E-2</v>
      </c>
      <c r="K144" s="4">
        <v>6.9749999000000003</v>
      </c>
      <c r="L144" s="82">
        <v>8.3024501799999997E-2</v>
      </c>
    </row>
    <row r="145" spans="5:12" x14ac:dyDescent="0.2">
      <c r="E145" s="4">
        <v>7.0250000999999997</v>
      </c>
      <c r="F145" s="82">
        <v>9.4298720399999994E-2</v>
      </c>
      <c r="H145" s="4">
        <v>7.0250000999999997</v>
      </c>
      <c r="I145" s="82">
        <v>6.2509775200000006E-2</v>
      </c>
      <c r="K145" s="4">
        <v>7.0250000999999997</v>
      </c>
      <c r="L145" s="82">
        <v>9.4885230099999995E-2</v>
      </c>
    </row>
    <row r="146" spans="5:12" x14ac:dyDescent="0.2">
      <c r="E146" s="4">
        <v>7.0749998099999996</v>
      </c>
      <c r="F146" s="4">
        <v>0.16393423100000001</v>
      </c>
      <c r="H146" s="4">
        <v>7.0749998099999996</v>
      </c>
      <c r="I146" s="82">
        <v>7.6574385199999997E-2</v>
      </c>
      <c r="K146" s="4">
        <v>7.0749998099999996</v>
      </c>
      <c r="L146" s="82">
        <v>7.1163773499999999E-2</v>
      </c>
    </row>
    <row r="147" spans="5:12" x14ac:dyDescent="0.2">
      <c r="E147" s="4">
        <v>7.125</v>
      </c>
      <c r="F147" s="4">
        <v>0.155230165</v>
      </c>
      <c r="H147" s="4">
        <v>7.125</v>
      </c>
      <c r="I147" s="82">
        <v>6.5635442700000005E-2</v>
      </c>
      <c r="K147" s="4">
        <v>7.125</v>
      </c>
      <c r="L147" s="82">
        <v>6.6716074900000005E-2</v>
      </c>
    </row>
    <row r="148" spans="5:12" x14ac:dyDescent="0.2">
      <c r="E148" s="4">
        <v>7.1750001900000004</v>
      </c>
      <c r="F148" s="4">
        <v>0.17263889299999999</v>
      </c>
      <c r="H148" s="4">
        <v>7.1750001900000004</v>
      </c>
      <c r="I148" s="82">
        <v>6.4072608899999994E-2</v>
      </c>
      <c r="K148" s="4">
        <v>7.1750001900000004</v>
      </c>
      <c r="L148" s="82">
        <v>6.6716074900000005E-2</v>
      </c>
    </row>
    <row r="149" spans="5:12" x14ac:dyDescent="0.2">
      <c r="E149" s="4">
        <v>7.2249999000000003</v>
      </c>
      <c r="F149" s="4">
        <v>0.19585073</v>
      </c>
      <c r="H149" s="4">
        <v>7.2249999000000003</v>
      </c>
      <c r="I149" s="82">
        <v>7.1886181800000004E-2</v>
      </c>
      <c r="K149" s="4">
        <v>7.2249999000000003</v>
      </c>
      <c r="L149" s="82">
        <v>5.7820677799999998E-2</v>
      </c>
    </row>
    <row r="150" spans="5:12" x14ac:dyDescent="0.2">
      <c r="E150" s="4">
        <v>7.2750000999999997</v>
      </c>
      <c r="F150" s="4">
        <v>0.213260055</v>
      </c>
      <c r="H150" s="4">
        <v>7.2750000999999997</v>
      </c>
      <c r="I150" s="82">
        <v>5.6258738000000003E-2</v>
      </c>
      <c r="K150" s="4">
        <v>7.2750000999999997</v>
      </c>
      <c r="L150" s="4">
        <v>0.106745958</v>
      </c>
    </row>
    <row r="151" spans="5:12" x14ac:dyDescent="0.2">
      <c r="E151" s="4">
        <v>7.3249998099999996</v>
      </c>
      <c r="F151" s="4">
        <v>0.23211956</v>
      </c>
      <c r="H151" s="4">
        <v>7.3249998099999996</v>
      </c>
      <c r="I151" s="82">
        <v>5.31333685E-2</v>
      </c>
      <c r="K151" s="4">
        <v>7.3249998099999996</v>
      </c>
      <c r="L151" s="82">
        <v>9.7849965100000005E-2</v>
      </c>
    </row>
    <row r="152" spans="5:12" x14ac:dyDescent="0.2">
      <c r="E152" s="4">
        <v>7.375</v>
      </c>
      <c r="F152" s="4">
        <v>0.48745095700000002</v>
      </c>
      <c r="H152" s="4">
        <v>7.375</v>
      </c>
      <c r="I152" s="82">
        <v>6.7197978500000005E-2</v>
      </c>
      <c r="K152" s="4">
        <v>7.375</v>
      </c>
      <c r="L152" s="82">
        <v>5.9303045300000003E-2</v>
      </c>
    </row>
    <row r="153" spans="5:12" x14ac:dyDescent="0.2">
      <c r="E153" s="4">
        <v>7.4250001900000004</v>
      </c>
      <c r="F153" s="4">
        <v>0.47729581599999998</v>
      </c>
      <c r="H153" s="4">
        <v>7.4250001900000004</v>
      </c>
      <c r="I153" s="82">
        <v>8.4388256100000003E-2</v>
      </c>
      <c r="K153" s="4">
        <v>7.4250001900000004</v>
      </c>
      <c r="L153" s="82">
        <v>6.5233707399999993E-2</v>
      </c>
    </row>
    <row r="154" spans="5:12" x14ac:dyDescent="0.2">
      <c r="E154" s="4">
        <v>7.4749999000000003</v>
      </c>
      <c r="F154" s="4">
        <v>0.117510557</v>
      </c>
      <c r="H154" s="4">
        <v>7.4749999000000003</v>
      </c>
      <c r="I154" s="82">
        <v>9.0639293199999998E-2</v>
      </c>
      <c r="K154" s="4">
        <v>7.4749999000000003</v>
      </c>
      <c r="L154" s="82">
        <v>9.1919898999999999E-2</v>
      </c>
    </row>
    <row r="155" spans="5:12" x14ac:dyDescent="0.2">
      <c r="E155" s="4">
        <v>7.5250000999999997</v>
      </c>
      <c r="F155" s="82">
        <v>8.1241726900000005E-2</v>
      </c>
      <c r="H155" s="4">
        <v>7.5250000999999997</v>
      </c>
      <c r="I155" s="82">
        <v>7.3449015600000001E-2</v>
      </c>
      <c r="K155" s="4">
        <v>7.5250000999999997</v>
      </c>
      <c r="L155" s="82">
        <v>8.5989236799999993E-2</v>
      </c>
    </row>
    <row r="156" spans="5:12" x14ac:dyDescent="0.2">
      <c r="E156" s="4">
        <v>7.5749998099999996</v>
      </c>
      <c r="F156" s="4">
        <v>0.13201803000000001</v>
      </c>
      <c r="H156" s="4">
        <v>7.5749998099999996</v>
      </c>
      <c r="I156" s="82">
        <v>6.2509775200000006E-2</v>
      </c>
      <c r="K156" s="4">
        <v>7.5749998099999996</v>
      </c>
      <c r="L156" s="82">
        <v>9.7850263100000001E-2</v>
      </c>
    </row>
    <row r="157" spans="5:12" x14ac:dyDescent="0.2">
      <c r="E157" s="4">
        <v>7.625</v>
      </c>
      <c r="F157" s="4">
        <v>0.15232861</v>
      </c>
      <c r="H157" s="4">
        <v>7.625</v>
      </c>
      <c r="I157" s="4">
        <v>0.10470360500000001</v>
      </c>
      <c r="K157" s="4">
        <v>7.625</v>
      </c>
      <c r="L157" s="4">
        <v>0.109711289</v>
      </c>
    </row>
    <row r="158" spans="5:12" x14ac:dyDescent="0.2">
      <c r="E158" s="4">
        <v>7.6750001900000004</v>
      </c>
      <c r="F158" s="4">
        <v>0.10300308499999999</v>
      </c>
      <c r="H158" s="4">
        <v>7.6750001900000004</v>
      </c>
      <c r="I158" s="82">
        <v>9.8452866099999994E-2</v>
      </c>
      <c r="K158" s="4">
        <v>7.6750001900000004</v>
      </c>
      <c r="L158" s="82">
        <v>7.5611472099999993E-2</v>
      </c>
    </row>
    <row r="159" spans="5:12" x14ac:dyDescent="0.2">
      <c r="E159" s="4">
        <v>7.7249999000000003</v>
      </c>
      <c r="F159" s="82">
        <v>9.2847645300000003E-2</v>
      </c>
      <c r="H159" s="4">
        <v>7.7249999000000003</v>
      </c>
      <c r="I159" s="82">
        <v>8.4388256100000003E-2</v>
      </c>
      <c r="K159" s="4">
        <v>7.7249999000000003</v>
      </c>
      <c r="L159" s="82">
        <v>8.3024203800000002E-2</v>
      </c>
    </row>
    <row r="160" spans="5:12" x14ac:dyDescent="0.2">
      <c r="E160" s="4">
        <v>7.7750000999999997</v>
      </c>
      <c r="F160" s="82">
        <v>9.2847943299999999E-2</v>
      </c>
      <c r="H160" s="4">
        <v>7.7750000999999997</v>
      </c>
      <c r="I160" s="4">
        <v>0.1000157</v>
      </c>
      <c r="K160" s="4">
        <v>7.7750000999999997</v>
      </c>
      <c r="L160" s="82">
        <v>8.0059468699999997E-2</v>
      </c>
    </row>
    <row r="161" spans="5:12" x14ac:dyDescent="0.2">
      <c r="E161" s="4">
        <v>7.8249998099999996</v>
      </c>
      <c r="F161" s="82">
        <v>6.6734552399999994E-2</v>
      </c>
      <c r="H161" s="4">
        <v>7.8249998099999996</v>
      </c>
      <c r="I161" s="4">
        <v>0.1000157</v>
      </c>
      <c r="K161" s="4">
        <v>7.8249998099999996</v>
      </c>
      <c r="L161" s="4">
        <v>0.152705908</v>
      </c>
    </row>
    <row r="162" spans="5:12" x14ac:dyDescent="0.2">
      <c r="E162" s="4">
        <v>7.875</v>
      </c>
      <c r="F162" s="82">
        <v>4.35224175E-2</v>
      </c>
      <c r="H162" s="4">
        <v>7.875</v>
      </c>
      <c r="I162" s="4">
        <v>0.107829273</v>
      </c>
      <c r="K162" s="4">
        <v>7.875</v>
      </c>
      <c r="L162" s="4">
        <v>0.12750178600000001</v>
      </c>
    </row>
    <row r="163" spans="5:12" x14ac:dyDescent="0.2">
      <c r="E163" s="4">
        <v>7.9250001900000004</v>
      </c>
      <c r="F163" s="4">
        <v>0.10155230799999999</v>
      </c>
      <c r="H163" s="4">
        <v>7.9250001900000004</v>
      </c>
      <c r="I163" s="4">
        <v>0.101578236</v>
      </c>
      <c r="K163" s="4">
        <v>7.9250001900000004</v>
      </c>
      <c r="L163" s="82">
        <v>5.0407648100000001E-2</v>
      </c>
    </row>
    <row r="164" spans="5:12" x14ac:dyDescent="0.2">
      <c r="E164" s="4">
        <v>7.9749999000000003</v>
      </c>
      <c r="F164" s="4">
        <v>0.12186259000000001</v>
      </c>
      <c r="H164" s="4">
        <v>7.9749999000000003</v>
      </c>
      <c r="I164" s="4">
        <v>0.12501955000000001</v>
      </c>
      <c r="K164" s="4">
        <v>7.9749999000000003</v>
      </c>
      <c r="L164" s="82">
        <v>4.8925280600000003E-2</v>
      </c>
    </row>
    <row r="165" spans="5:12" x14ac:dyDescent="0.2">
      <c r="E165" s="4">
        <v>8.0250005699999996</v>
      </c>
      <c r="F165" s="82">
        <v>6.6734254399999998E-2</v>
      </c>
      <c r="H165" s="4">
        <v>8.0250005699999996</v>
      </c>
      <c r="I165" s="4">
        <v>0.157837272</v>
      </c>
      <c r="K165" s="4">
        <v>8.0250005699999996</v>
      </c>
      <c r="L165" s="82">
        <v>6.8198740499999994E-2</v>
      </c>
    </row>
    <row r="166" spans="5:12" x14ac:dyDescent="0.2">
      <c r="E166" s="4">
        <v>8.07500076</v>
      </c>
      <c r="F166" s="82">
        <v>6.8185031399999999E-2</v>
      </c>
      <c r="H166" s="4">
        <v>8.07500076</v>
      </c>
      <c r="I166" s="4">
        <v>0.16408801100000001</v>
      </c>
      <c r="K166" s="4">
        <v>8.07500076</v>
      </c>
      <c r="L166" s="82">
        <v>8.5989534899999998E-2</v>
      </c>
    </row>
    <row r="167" spans="5:12" x14ac:dyDescent="0.2">
      <c r="E167" s="4">
        <v>8.1250009500000004</v>
      </c>
      <c r="F167" s="82">
        <v>7.8340470800000006E-2</v>
      </c>
      <c r="H167" s="4">
        <v>8.1250009500000004</v>
      </c>
      <c r="I167" s="4">
        <v>0.21722137899999999</v>
      </c>
      <c r="K167" s="4">
        <v>8.1250009500000004</v>
      </c>
      <c r="L167" s="82">
        <v>8.5989534899999998E-2</v>
      </c>
    </row>
    <row r="168" spans="5:12" x14ac:dyDescent="0.2">
      <c r="E168" s="4">
        <v>8.1750001900000004</v>
      </c>
      <c r="F168" s="82">
        <v>8.2692801999999996E-2</v>
      </c>
      <c r="H168" s="4">
        <v>8.1750001900000004</v>
      </c>
      <c r="I168" s="4">
        <v>0.196905732</v>
      </c>
      <c r="K168" s="4">
        <v>8.1750001900000004</v>
      </c>
      <c r="L168" s="82">
        <v>9.4884932000000005E-2</v>
      </c>
    </row>
    <row r="169" spans="5:12" x14ac:dyDescent="0.2">
      <c r="E169" s="4">
        <v>8.2250003800000009</v>
      </c>
      <c r="F169" s="82">
        <v>9.8650753499999994E-2</v>
      </c>
      <c r="H169" s="4">
        <v>8.2250003800000009</v>
      </c>
      <c r="I169" s="82">
        <v>9.3764662700000001E-2</v>
      </c>
      <c r="K169" s="4">
        <v>8.2250003800000009</v>
      </c>
      <c r="L169" s="82">
        <v>8.1541836300000003E-2</v>
      </c>
    </row>
    <row r="170" spans="5:12" x14ac:dyDescent="0.2">
      <c r="E170" s="4">
        <v>8.2750005699999996</v>
      </c>
      <c r="F170" s="82">
        <v>8.7044835099999995E-2</v>
      </c>
      <c r="H170" s="4">
        <v>8.2750005699999996</v>
      </c>
      <c r="I170" s="4">
        <v>0.17815291899999999</v>
      </c>
      <c r="K170" s="4">
        <v>8.2750005699999996</v>
      </c>
      <c r="L170" s="82">
        <v>6.9681406000000001E-2</v>
      </c>
    </row>
    <row r="171" spans="5:12" x14ac:dyDescent="0.2">
      <c r="E171" s="4">
        <v>8.32500076</v>
      </c>
      <c r="F171" s="82">
        <v>6.8185031399999999E-2</v>
      </c>
      <c r="H171" s="4">
        <v>8.32500076</v>
      </c>
      <c r="I171" s="4">
        <v>0.18284112199999999</v>
      </c>
      <c r="K171" s="4">
        <v>8.32500076</v>
      </c>
      <c r="L171" s="82">
        <v>8.5989534899999998E-2</v>
      </c>
    </row>
    <row r="172" spans="5:12" x14ac:dyDescent="0.2">
      <c r="E172" s="4">
        <v>8.3750009500000004</v>
      </c>
      <c r="F172" s="82">
        <v>6.09311461E-2</v>
      </c>
      <c r="H172" s="4">
        <v>8.3750009500000004</v>
      </c>
      <c r="I172" s="82">
        <v>7.8137218999999994E-2</v>
      </c>
      <c r="K172" s="4">
        <v>8.3750009500000004</v>
      </c>
      <c r="L172" s="82">
        <v>9.9332928700000003E-2</v>
      </c>
    </row>
    <row r="173" spans="5:12" x14ac:dyDescent="0.2">
      <c r="E173" s="4">
        <v>8.4250001900000004</v>
      </c>
      <c r="F173" s="4">
        <v>0.17844200099999999</v>
      </c>
      <c r="H173" s="4">
        <v>8.4250001900000004</v>
      </c>
      <c r="I173" s="4">
        <v>0.12970775400000001</v>
      </c>
      <c r="K173" s="4">
        <v>8.4250001900000004</v>
      </c>
      <c r="L173" s="82">
        <v>7.5611770199999997E-2</v>
      </c>
    </row>
    <row r="174" spans="5:12" x14ac:dyDescent="0.2">
      <c r="E174" s="4">
        <v>8.4750003800000009</v>
      </c>
      <c r="F174" s="4">
        <v>0.18134355499999999</v>
      </c>
      <c r="H174" s="4">
        <v>8.4750003800000009</v>
      </c>
      <c r="I174" s="4">
        <v>0.153149068</v>
      </c>
      <c r="K174" s="4">
        <v>8.4750003800000009</v>
      </c>
      <c r="L174" s="82">
        <v>6.6716074900000005E-2</v>
      </c>
    </row>
    <row r="175" spans="5:12" x14ac:dyDescent="0.2">
      <c r="E175" s="4">
        <v>8.5250005699999996</v>
      </c>
      <c r="F175" s="82">
        <v>5.6579113E-2</v>
      </c>
      <c r="H175" s="4">
        <v>8.5250005699999996</v>
      </c>
      <c r="I175" s="82">
        <v>9.2201828999999999E-2</v>
      </c>
      <c r="K175" s="4">
        <v>8.5250005699999996</v>
      </c>
      <c r="L175" s="82">
        <v>8.7472200400000005E-2</v>
      </c>
    </row>
    <row r="176" spans="5:12" x14ac:dyDescent="0.2">
      <c r="E176" s="4">
        <v>8.57500076</v>
      </c>
      <c r="F176" s="82">
        <v>5.8029890100000002E-2</v>
      </c>
      <c r="H176" s="4">
        <v>8.57500076</v>
      </c>
      <c r="I176" s="82">
        <v>6.7197978500000005E-2</v>
      </c>
      <c r="K176" s="4">
        <v>8.57500076</v>
      </c>
      <c r="L176" s="82">
        <v>7.8576505199999994E-2</v>
      </c>
    </row>
    <row r="177" spans="5:12" x14ac:dyDescent="0.2">
      <c r="E177" s="4">
        <v>8.6250009500000004</v>
      </c>
      <c r="F177" s="82">
        <v>6.0931444199999997E-2</v>
      </c>
      <c r="H177" s="4">
        <v>8.6250009500000004</v>
      </c>
      <c r="I177" s="4">
        <v>0.13439595700000001</v>
      </c>
      <c r="K177" s="4">
        <v>8.6250009500000004</v>
      </c>
      <c r="L177" s="82">
        <v>5.7820677799999998E-2</v>
      </c>
    </row>
    <row r="178" spans="5:12" x14ac:dyDescent="0.2">
      <c r="E178" s="4">
        <v>8.6750001900000004</v>
      </c>
      <c r="F178" s="82">
        <v>6.6734254399999998E-2</v>
      </c>
      <c r="H178" s="4">
        <v>8.6750001900000004</v>
      </c>
      <c r="I178" s="4">
        <v>0.13595849300000001</v>
      </c>
      <c r="K178" s="4">
        <v>8.6750001900000004</v>
      </c>
      <c r="L178" s="82">
        <v>6.5233707399999993E-2</v>
      </c>
    </row>
    <row r="179" spans="5:12" x14ac:dyDescent="0.2">
      <c r="E179" s="4">
        <v>8.7250003800000009</v>
      </c>
      <c r="F179" s="82">
        <v>4.7874450700000001E-2</v>
      </c>
      <c r="H179" s="4">
        <v>8.7250003800000009</v>
      </c>
      <c r="I179" s="82">
        <v>9.3764662700000001E-2</v>
      </c>
      <c r="K179" s="4">
        <v>8.7250003800000009</v>
      </c>
      <c r="L179" s="82">
        <v>6.2268078300000002E-2</v>
      </c>
    </row>
    <row r="180" spans="5:12" x14ac:dyDescent="0.2">
      <c r="E180" s="4">
        <v>8.7750005699999996</v>
      </c>
      <c r="F180" s="82">
        <v>5.0776302799999999E-2</v>
      </c>
      <c r="H180" s="4">
        <v>8.7750005699999996</v>
      </c>
      <c r="I180" s="82">
        <v>8.1262886500000006E-2</v>
      </c>
      <c r="K180" s="4">
        <v>8.7750005699999996</v>
      </c>
      <c r="L180" s="4">
        <v>0.12750178600000001</v>
      </c>
    </row>
    <row r="181" spans="5:12" x14ac:dyDescent="0.2">
      <c r="E181" s="4">
        <v>8.82500076</v>
      </c>
      <c r="F181" s="82">
        <v>7.8340470800000006E-2</v>
      </c>
      <c r="H181" s="4">
        <v>8.82500076</v>
      </c>
      <c r="I181" s="82">
        <v>9.8452866099999994E-2</v>
      </c>
      <c r="K181" s="4">
        <v>8.82500076</v>
      </c>
      <c r="L181" s="4">
        <v>0.12750208399999999</v>
      </c>
    </row>
    <row r="182" spans="5:12" x14ac:dyDescent="0.2">
      <c r="E182" s="4">
        <v>8.8750009500000004</v>
      </c>
      <c r="F182" s="82">
        <v>6.3832700300000003E-2</v>
      </c>
      <c r="H182" s="4">
        <v>8.8750009500000004</v>
      </c>
      <c r="I182" s="4">
        <v>0.11251747600000001</v>
      </c>
      <c r="K182" s="4">
        <v>8.8750009500000004</v>
      </c>
      <c r="L182" s="82">
        <v>8.8954865899999999E-2</v>
      </c>
    </row>
  </sheetData>
  <mergeCells count="4">
    <mergeCell ref="B3:C3"/>
    <mergeCell ref="E3:F3"/>
    <mergeCell ref="H3:I3"/>
    <mergeCell ref="K3:L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F61AF-CE94-0444-9550-274E15A8504D}">
  <dimension ref="A1:Y105"/>
  <sheetViews>
    <sheetView topLeftCell="C1" zoomScale="110" zoomScaleNormal="90" workbookViewId="0">
      <selection activeCell="S49" sqref="S49"/>
    </sheetView>
  </sheetViews>
  <sheetFormatPr baseColWidth="10" defaultRowHeight="16" x14ac:dyDescent="0.2"/>
  <cols>
    <col min="1" max="16384" width="10.83203125" style="4"/>
  </cols>
  <sheetData>
    <row r="1" spans="1:25" x14ac:dyDescent="0.2">
      <c r="A1" s="4" t="s">
        <v>194</v>
      </c>
    </row>
    <row r="3" spans="1:25" x14ac:dyDescent="0.2">
      <c r="B3" s="103" t="s">
        <v>50</v>
      </c>
      <c r="C3" s="103"/>
      <c r="D3" s="103"/>
      <c r="F3" s="103" t="s">
        <v>51</v>
      </c>
      <c r="G3" s="103"/>
      <c r="H3" s="103"/>
      <c r="J3" s="104" t="s">
        <v>52</v>
      </c>
      <c r="K3" s="104"/>
      <c r="L3" s="104"/>
      <c r="N3" s="103" t="s">
        <v>53</v>
      </c>
      <c r="O3" s="103"/>
      <c r="P3" s="103"/>
    </row>
    <row r="4" spans="1:25" x14ac:dyDescent="0.2">
      <c r="B4" s="49" t="s">
        <v>195</v>
      </c>
      <c r="C4" s="49" t="s">
        <v>196</v>
      </c>
      <c r="D4" s="49" t="s">
        <v>197</v>
      </c>
      <c r="F4" s="49" t="s">
        <v>195</v>
      </c>
      <c r="G4" s="49" t="s">
        <v>196</v>
      </c>
      <c r="H4" s="49" t="s">
        <v>197</v>
      </c>
      <c r="J4" s="50" t="s">
        <v>195</v>
      </c>
      <c r="K4" s="50" t="s">
        <v>196</v>
      </c>
      <c r="L4" s="49" t="s">
        <v>197</v>
      </c>
      <c r="N4" s="49" t="s">
        <v>195</v>
      </c>
      <c r="O4" s="49" t="s">
        <v>196</v>
      </c>
      <c r="P4" s="49" t="s">
        <v>197</v>
      </c>
    </row>
    <row r="5" spans="1:25" x14ac:dyDescent="0.2">
      <c r="F5" s="4">
        <v>0.05</v>
      </c>
      <c r="G5" s="4">
        <v>0</v>
      </c>
      <c r="H5" s="4">
        <v>0</v>
      </c>
      <c r="J5" s="4">
        <v>0.05</v>
      </c>
      <c r="K5" s="4">
        <v>0</v>
      </c>
      <c r="L5" s="4">
        <v>0</v>
      </c>
      <c r="N5" s="4">
        <v>0.05</v>
      </c>
      <c r="O5" s="4">
        <v>0</v>
      </c>
      <c r="P5" s="4">
        <v>0</v>
      </c>
    </row>
    <row r="6" spans="1:25" x14ac:dyDescent="0.2">
      <c r="D6" s="82"/>
      <c r="F6" s="4">
        <v>0.15</v>
      </c>
      <c r="G6" s="4">
        <v>0</v>
      </c>
      <c r="H6" s="4">
        <v>0</v>
      </c>
      <c r="J6" s="4">
        <v>0.15</v>
      </c>
      <c r="K6" s="4">
        <v>0</v>
      </c>
      <c r="L6" s="4">
        <v>0</v>
      </c>
      <c r="N6" s="4">
        <v>0.15</v>
      </c>
      <c r="O6" s="4">
        <v>0</v>
      </c>
      <c r="P6" s="4">
        <v>0</v>
      </c>
    </row>
    <row r="7" spans="1:25" x14ac:dyDescent="0.2">
      <c r="D7" s="82"/>
      <c r="F7" s="4">
        <v>0.25</v>
      </c>
      <c r="G7" s="4">
        <v>0</v>
      </c>
      <c r="H7" s="4">
        <v>0</v>
      </c>
      <c r="J7" s="4">
        <v>0.25</v>
      </c>
      <c r="K7" s="4">
        <v>0</v>
      </c>
      <c r="L7" s="4">
        <v>0</v>
      </c>
      <c r="N7" s="4">
        <v>0.25</v>
      </c>
      <c r="O7" s="4">
        <v>0</v>
      </c>
      <c r="P7" s="4">
        <v>0</v>
      </c>
    </row>
    <row r="8" spans="1:25" x14ac:dyDescent="0.2">
      <c r="F8" s="4">
        <v>0.35</v>
      </c>
      <c r="G8" s="4">
        <v>0</v>
      </c>
      <c r="H8" s="4">
        <v>0</v>
      </c>
      <c r="J8" s="4">
        <v>0.35</v>
      </c>
      <c r="K8" s="4">
        <v>0</v>
      </c>
      <c r="L8" s="4">
        <v>0</v>
      </c>
      <c r="N8" s="4">
        <v>0.35</v>
      </c>
      <c r="O8" s="4">
        <v>0</v>
      </c>
      <c r="P8" s="4">
        <v>0</v>
      </c>
    </row>
    <row r="9" spans="1:25" x14ac:dyDescent="0.2">
      <c r="F9" s="4">
        <v>0.45</v>
      </c>
      <c r="G9" s="4">
        <v>0</v>
      </c>
      <c r="H9" s="4">
        <v>0</v>
      </c>
      <c r="J9" s="4">
        <v>0.45</v>
      </c>
      <c r="K9" s="4">
        <v>0</v>
      </c>
      <c r="L9" s="4">
        <v>0</v>
      </c>
      <c r="N9" s="4">
        <v>0.45</v>
      </c>
      <c r="O9" s="4">
        <v>0</v>
      </c>
      <c r="P9" s="4">
        <v>0</v>
      </c>
    </row>
    <row r="10" spans="1:25" x14ac:dyDescent="0.2">
      <c r="F10" s="4">
        <v>0.55000000000000004</v>
      </c>
      <c r="G10" s="4">
        <v>0</v>
      </c>
      <c r="H10" s="4">
        <v>0</v>
      </c>
      <c r="J10" s="4">
        <v>0.55000000000000004</v>
      </c>
      <c r="K10" s="4">
        <v>0</v>
      </c>
      <c r="L10" s="4">
        <v>0</v>
      </c>
      <c r="N10" s="4">
        <v>0.55000000000000004</v>
      </c>
      <c r="O10" s="4">
        <v>0</v>
      </c>
      <c r="P10" s="4">
        <v>0</v>
      </c>
    </row>
    <row r="11" spans="1:25" x14ac:dyDescent="0.2">
      <c r="F11" s="4">
        <v>0.65</v>
      </c>
      <c r="G11" s="4">
        <v>0</v>
      </c>
      <c r="H11" s="4">
        <v>0</v>
      </c>
      <c r="J11" s="4">
        <v>0.65</v>
      </c>
      <c r="K11" s="4">
        <v>0</v>
      </c>
      <c r="L11" s="4">
        <v>0</v>
      </c>
      <c r="N11" s="4">
        <v>0.65</v>
      </c>
      <c r="O11" s="4">
        <v>0</v>
      </c>
      <c r="P11" s="4">
        <v>0</v>
      </c>
    </row>
    <row r="12" spans="1:25" x14ac:dyDescent="0.2">
      <c r="F12" s="4">
        <v>0.75</v>
      </c>
      <c r="G12" s="4">
        <v>0</v>
      </c>
      <c r="H12" s="4">
        <v>0</v>
      </c>
      <c r="J12" s="4">
        <v>0.75</v>
      </c>
      <c r="K12" s="4">
        <v>0</v>
      </c>
      <c r="L12" s="4">
        <v>0</v>
      </c>
      <c r="N12" s="4">
        <v>0.75</v>
      </c>
      <c r="O12" s="4">
        <v>0</v>
      </c>
      <c r="P12" s="4">
        <v>0</v>
      </c>
      <c r="Y12" s="1"/>
    </row>
    <row r="13" spans="1:25" x14ac:dyDescent="0.2">
      <c r="F13" s="4">
        <v>0.85</v>
      </c>
      <c r="G13" s="4">
        <v>0</v>
      </c>
      <c r="H13" s="4">
        <v>0</v>
      </c>
      <c r="J13" s="4">
        <v>0.85</v>
      </c>
      <c r="K13" s="4">
        <v>0</v>
      </c>
      <c r="L13" s="4">
        <v>0</v>
      </c>
      <c r="N13" s="4">
        <v>0.85</v>
      </c>
      <c r="O13" s="4">
        <v>0</v>
      </c>
      <c r="P13" s="4">
        <v>0</v>
      </c>
    </row>
    <row r="14" spans="1:25" x14ac:dyDescent="0.2">
      <c r="F14" s="4">
        <v>0.95</v>
      </c>
      <c r="G14" s="4">
        <v>0</v>
      </c>
      <c r="H14" s="4">
        <v>0</v>
      </c>
      <c r="J14" s="4">
        <v>0.95</v>
      </c>
      <c r="K14" s="4">
        <v>0</v>
      </c>
      <c r="L14" s="4">
        <v>0</v>
      </c>
      <c r="N14" s="4">
        <v>0.95</v>
      </c>
      <c r="O14" s="4">
        <v>0</v>
      </c>
      <c r="P14" s="4">
        <v>0</v>
      </c>
    </row>
    <row r="15" spans="1:25" x14ac:dyDescent="0.2">
      <c r="F15" s="4">
        <v>1.05</v>
      </c>
      <c r="G15" s="4">
        <v>0</v>
      </c>
      <c r="H15" s="4">
        <v>0</v>
      </c>
      <c r="J15" s="4">
        <v>1.05</v>
      </c>
      <c r="K15" s="4">
        <v>4.63330318454448E-4</v>
      </c>
      <c r="L15" s="82">
        <v>1.25674321280118E-5</v>
      </c>
      <c r="N15" s="4">
        <v>1.05</v>
      </c>
      <c r="O15" s="4">
        <v>0</v>
      </c>
      <c r="P15" s="4">
        <v>0</v>
      </c>
    </row>
    <row r="16" spans="1:25" x14ac:dyDescent="0.2">
      <c r="F16" s="4">
        <v>1.1499999999999999</v>
      </c>
      <c r="G16" s="4">
        <v>0.39804341809548899</v>
      </c>
      <c r="H16" s="4">
        <v>1.0679294973241301E-2</v>
      </c>
      <c r="J16" s="4">
        <v>1.1499999999999999</v>
      </c>
      <c r="K16" s="4">
        <v>0.25238654307280201</v>
      </c>
      <c r="L16" s="4">
        <v>6.8178319294464303E-3</v>
      </c>
      <c r="N16" s="4">
        <v>1.1499999999999999</v>
      </c>
      <c r="O16" s="4">
        <v>0.224298766145416</v>
      </c>
      <c r="P16" s="4">
        <v>1.17879444373645E-2</v>
      </c>
    </row>
    <row r="17" spans="6:25" x14ac:dyDescent="0.2">
      <c r="F17" s="4">
        <v>1.25</v>
      </c>
      <c r="G17" s="4">
        <v>0.68839247926842095</v>
      </c>
      <c r="H17" s="4">
        <v>3.23036592290128E-2</v>
      </c>
      <c r="J17" s="4">
        <v>1.25</v>
      </c>
      <c r="K17" s="4">
        <v>0.41358935704059302</v>
      </c>
      <c r="L17" s="4">
        <v>2.01078914048189E-2</v>
      </c>
      <c r="N17" s="4">
        <v>1.25</v>
      </c>
      <c r="O17" s="4">
        <v>0.57968620476322896</v>
      </c>
      <c r="P17" s="4">
        <v>4.7788963935261802E-2</v>
      </c>
    </row>
    <row r="18" spans="6:25" x14ac:dyDescent="0.2">
      <c r="F18" s="4">
        <v>1.35</v>
      </c>
      <c r="G18" s="4">
        <v>7.5823321530394399</v>
      </c>
      <c r="H18" s="4">
        <v>0.311632458291554</v>
      </c>
      <c r="J18" s="4">
        <v>1.35</v>
      </c>
      <c r="K18" s="4">
        <v>6.2563137110256797</v>
      </c>
      <c r="L18" s="4">
        <v>0.25227863253770999</v>
      </c>
      <c r="N18" s="4">
        <v>1.35</v>
      </c>
      <c r="O18" s="4">
        <v>2.9221550644057301</v>
      </c>
      <c r="P18" s="4">
        <v>0.25939849624060102</v>
      </c>
    </row>
    <row r="19" spans="6:25" x14ac:dyDescent="0.2">
      <c r="F19" s="4">
        <v>1.45</v>
      </c>
      <c r="G19" s="4">
        <v>41.878410554343603</v>
      </c>
      <c r="H19" s="4">
        <v>2.0894451357261001</v>
      </c>
      <c r="J19" s="4">
        <v>1.45</v>
      </c>
      <c r="K19" s="4">
        <v>48.277317379311903</v>
      </c>
      <c r="L19" s="4">
        <v>2.3206454633140901</v>
      </c>
      <c r="N19" s="4">
        <v>1.45</v>
      </c>
      <c r="O19" s="4">
        <v>24.927659837838199</v>
      </c>
      <c r="P19" s="4">
        <v>2.3420415445393101</v>
      </c>
    </row>
    <row r="20" spans="6:25" x14ac:dyDescent="0.2">
      <c r="F20" s="4">
        <v>1.55</v>
      </c>
      <c r="G20" s="4">
        <v>4.7088714695717897</v>
      </c>
      <c r="H20" s="4">
        <v>2.3179627191127898</v>
      </c>
      <c r="J20" s="4">
        <v>1.55</v>
      </c>
      <c r="K20" s="4">
        <v>3.26932078112914</v>
      </c>
      <c r="L20" s="4">
        <v>2.4805346185627202</v>
      </c>
      <c r="N20" s="4">
        <v>1.55</v>
      </c>
      <c r="O20" s="4">
        <v>2.1941381978867298</v>
      </c>
      <c r="P20" s="4">
        <v>2.5514846438129202</v>
      </c>
    </row>
    <row r="21" spans="6:25" x14ac:dyDescent="0.2">
      <c r="F21" s="4">
        <v>1.65</v>
      </c>
      <c r="G21" s="4">
        <v>0.58488090914489799</v>
      </c>
      <c r="H21" s="4">
        <v>2.35009724923589</v>
      </c>
      <c r="J21" s="4">
        <v>1.65</v>
      </c>
      <c r="K21" s="4">
        <v>0.377930070077937</v>
      </c>
      <c r="L21" s="4">
        <v>2.5014342581915998</v>
      </c>
      <c r="N21" s="4">
        <v>1.65</v>
      </c>
      <c r="O21" s="4">
        <v>0.202599308685393</v>
      </c>
      <c r="P21" s="4">
        <v>2.5734038486045598</v>
      </c>
    </row>
    <row r="22" spans="6:25" x14ac:dyDescent="0.2">
      <c r="F22" s="4">
        <v>1.75</v>
      </c>
      <c r="G22" s="4">
        <v>5.6734805384097198E-2</v>
      </c>
      <c r="H22" s="4">
        <v>2.3535885572079098</v>
      </c>
      <c r="J22" s="4">
        <v>1.75</v>
      </c>
      <c r="K22" s="4">
        <v>2.2417557173787302E-2</v>
      </c>
      <c r="L22" s="4">
        <v>2.5028103920096201</v>
      </c>
      <c r="N22" s="4">
        <v>1.75</v>
      </c>
      <c r="O22" s="4">
        <v>9.9396890752677606E-3</v>
      </c>
      <c r="P22" s="4">
        <v>2.5746145023575799</v>
      </c>
    </row>
    <row r="23" spans="6:25" x14ac:dyDescent="0.2">
      <c r="F23" s="4">
        <v>1.85</v>
      </c>
      <c r="G23" s="4">
        <v>7.9303833956823507E-3</v>
      </c>
      <c r="H23" s="4">
        <v>2.35414426712734</v>
      </c>
      <c r="J23" s="4">
        <v>1.85</v>
      </c>
      <c r="K23" s="4">
        <v>7.1553678371460098E-3</v>
      </c>
      <c r="L23" s="4">
        <v>2.50328795443049</v>
      </c>
      <c r="N23" s="4">
        <v>1.85</v>
      </c>
      <c r="O23" s="4">
        <v>2.3402704683399E-3</v>
      </c>
      <c r="P23" s="4">
        <v>2.5749330954504899</v>
      </c>
      <c r="Y23" s="1"/>
    </row>
    <row r="24" spans="6:25" x14ac:dyDescent="0.2">
      <c r="F24" s="4">
        <v>1.95</v>
      </c>
      <c r="G24" s="4">
        <v>2.9406333192627701E-3</v>
      </c>
      <c r="H24" s="4">
        <v>2.35437379948536</v>
      </c>
      <c r="J24" s="4">
        <v>1.95</v>
      </c>
      <c r="K24" s="4">
        <v>1.40807131233926E-3</v>
      </c>
      <c r="L24" s="4">
        <v>2.5033947776035799</v>
      </c>
      <c r="N24" s="4">
        <v>1.95</v>
      </c>
      <c r="O24" s="4">
        <v>4.25078888822034E-4</v>
      </c>
      <c r="P24" s="4">
        <v>2.57499681406907</v>
      </c>
    </row>
    <row r="25" spans="6:25" x14ac:dyDescent="0.2">
      <c r="F25" s="4">
        <v>2.0499999999999998</v>
      </c>
      <c r="G25" s="4">
        <v>3.7438732635740801E-3</v>
      </c>
      <c r="H25" s="4">
        <v>2.35469997704676</v>
      </c>
      <c r="J25" s="4">
        <v>2.0499999999999998</v>
      </c>
      <c r="K25" s="4">
        <v>2.4256638190771501E-3</v>
      </c>
      <c r="L25" s="4">
        <v>2.5036084239497498</v>
      </c>
      <c r="N25" s="4">
        <v>2.0499999999999998</v>
      </c>
      <c r="O25" s="4">
        <v>8.0153922635000895E-3</v>
      </c>
      <c r="P25" s="4">
        <v>2.5763349050592499</v>
      </c>
    </row>
    <row r="26" spans="6:25" x14ac:dyDescent="0.2">
      <c r="F26" s="4">
        <v>2.15</v>
      </c>
      <c r="G26" s="4">
        <v>3.1337731303738098E-2</v>
      </c>
      <c r="H26" s="4">
        <v>2.35761141379851</v>
      </c>
      <c r="J26" s="4">
        <v>2.15</v>
      </c>
      <c r="K26" s="4">
        <v>2.36989186016166E-2</v>
      </c>
      <c r="L26" s="4">
        <v>2.5058705617327899</v>
      </c>
      <c r="N26" s="4">
        <v>2.15</v>
      </c>
      <c r="O26" s="4">
        <v>3.0514675135312402E-2</v>
      </c>
      <c r="P26" s="4">
        <v>2.5819421434943202</v>
      </c>
    </row>
    <row r="27" spans="6:25" x14ac:dyDescent="0.2">
      <c r="F27" s="4">
        <v>2.25</v>
      </c>
      <c r="G27" s="4">
        <v>0.19361766374997799</v>
      </c>
      <c r="H27" s="4">
        <v>2.3773149546371499</v>
      </c>
      <c r="J27" s="4">
        <v>2.25</v>
      </c>
      <c r="K27" s="4">
        <v>0.17188708453469201</v>
      </c>
      <c r="L27" s="4">
        <v>2.5236786130581801</v>
      </c>
      <c r="N27" s="4">
        <v>2.25</v>
      </c>
      <c r="O27" s="4">
        <v>0.18662299764342899</v>
      </c>
      <c r="P27" s="4">
        <v>2.6194724098381501</v>
      </c>
    </row>
    <row r="28" spans="6:25" x14ac:dyDescent="0.2">
      <c r="F28" s="4">
        <v>2.35</v>
      </c>
      <c r="G28" s="4">
        <v>1.4097761614098601</v>
      </c>
      <c r="H28" s="4">
        <v>2.5343875714268398</v>
      </c>
      <c r="J28" s="4">
        <v>2.35</v>
      </c>
      <c r="K28" s="4">
        <v>1.15346887422601</v>
      </c>
      <c r="L28" s="4">
        <v>2.6534373497799102</v>
      </c>
      <c r="N28" s="4">
        <v>2.35</v>
      </c>
      <c r="O28" s="4">
        <v>0.80418868151307099</v>
      </c>
      <c r="P28" s="4">
        <v>2.7959092646871402</v>
      </c>
    </row>
    <row r="29" spans="6:25" x14ac:dyDescent="0.2">
      <c r="F29" s="4">
        <v>2.4500000000000002</v>
      </c>
      <c r="G29" s="4">
        <v>13.500429947113201</v>
      </c>
      <c r="H29" s="4">
        <v>4.1706995904659498</v>
      </c>
      <c r="J29" s="4">
        <v>2.4500000000000002</v>
      </c>
      <c r="K29" s="4">
        <v>15.1507036847701</v>
      </c>
      <c r="L29" s="4">
        <v>4.5065994727962204</v>
      </c>
      <c r="N29" s="4">
        <v>2.4500000000000002</v>
      </c>
      <c r="O29" s="4">
        <v>7.4775928435702097</v>
      </c>
      <c r="P29" s="4">
        <v>4.5788836498024699</v>
      </c>
    </row>
    <row r="30" spans="6:25" x14ac:dyDescent="0.2">
      <c r="F30" s="4">
        <v>2.5499999999999998</v>
      </c>
      <c r="G30" s="4">
        <v>14.1361093189836</v>
      </c>
      <c r="H30" s="4">
        <v>6.0263841405221203</v>
      </c>
      <c r="J30" s="4">
        <v>2.5499999999999998</v>
      </c>
      <c r="K30" s="4">
        <v>16.127446210519601</v>
      </c>
      <c r="L30" s="4">
        <v>6.64196328424703</v>
      </c>
      <c r="N30" s="4">
        <v>2.5499999999999998</v>
      </c>
      <c r="O30" s="4">
        <v>8.3272784285321393</v>
      </c>
      <c r="P30" s="4">
        <v>6.7300879316936397</v>
      </c>
    </row>
    <row r="31" spans="6:25" x14ac:dyDescent="0.2">
      <c r="F31" s="4">
        <v>2.65</v>
      </c>
      <c r="G31" s="4">
        <v>1.93134978078528</v>
      </c>
      <c r="H31" s="4">
        <v>6.3000108725853696</v>
      </c>
      <c r="J31" s="4">
        <v>2.65</v>
      </c>
      <c r="K31" s="4">
        <v>1.5509450751272</v>
      </c>
      <c r="L31" s="4">
        <v>6.8638161636028299</v>
      </c>
      <c r="N31" s="4">
        <v>2.65</v>
      </c>
      <c r="O31" s="4">
        <v>1.27913124078656</v>
      </c>
      <c r="P31" s="4">
        <v>7.0869121957435901</v>
      </c>
    </row>
    <row r="32" spans="6:25" x14ac:dyDescent="0.2">
      <c r="F32" s="4">
        <v>2.75</v>
      </c>
      <c r="G32" s="4">
        <v>1.3453264471352899</v>
      </c>
      <c r="H32" s="4">
        <v>6.5057926718774501</v>
      </c>
      <c r="J32" s="4">
        <v>2.75</v>
      </c>
      <c r="K32" s="4">
        <v>1.19737597886805</v>
      </c>
      <c r="L32" s="4">
        <v>7.0486139693291801</v>
      </c>
      <c r="N32" s="4">
        <v>2.75</v>
      </c>
      <c r="O32" s="4">
        <v>0.85244185276321904</v>
      </c>
      <c r="P32" s="4">
        <v>7.3429973238180102</v>
      </c>
    </row>
    <row r="33" spans="6:24" x14ac:dyDescent="0.2">
      <c r="F33" s="4">
        <v>2.85</v>
      </c>
      <c r="G33" s="4">
        <v>5.1711089936874997</v>
      </c>
      <c r="H33" s="4">
        <v>7.3537576863138296</v>
      </c>
      <c r="J33" s="4">
        <v>2.85</v>
      </c>
      <c r="K33" s="4">
        <v>6.0286820438877902</v>
      </c>
      <c r="L33" s="4">
        <v>8.0465749034664107</v>
      </c>
      <c r="N33" s="4">
        <v>2.85</v>
      </c>
      <c r="O33" s="4">
        <v>3.04779070135034</v>
      </c>
      <c r="P33" s="4">
        <v>8.3263667643685402</v>
      </c>
    </row>
    <row r="34" spans="6:24" x14ac:dyDescent="0.2">
      <c r="F34" s="4">
        <v>2.95</v>
      </c>
      <c r="G34" s="4">
        <v>4.2356137613955802</v>
      </c>
      <c r="H34" s="4">
        <v>8.0979982362250293</v>
      </c>
      <c r="J34" s="4">
        <v>2.95</v>
      </c>
      <c r="K34" s="4">
        <v>4.75178725029141</v>
      </c>
      <c r="L34" s="4">
        <v>8.8895605483170606</v>
      </c>
      <c r="N34" s="4">
        <v>2.95</v>
      </c>
      <c r="O34" s="4">
        <v>2.49383400140721</v>
      </c>
      <c r="P34" s="4">
        <v>9.1885433923792501</v>
      </c>
    </row>
    <row r="35" spans="6:24" x14ac:dyDescent="0.2">
      <c r="F35" s="4">
        <v>3.05</v>
      </c>
      <c r="G35" s="4">
        <v>1.7676851133339799</v>
      </c>
      <c r="H35" s="4">
        <v>8.4302040421856201</v>
      </c>
      <c r="J35" s="4">
        <v>3.05</v>
      </c>
      <c r="K35" s="4">
        <v>1.7775477112304101</v>
      </c>
      <c r="L35" s="4">
        <v>9.2285795974023106</v>
      </c>
      <c r="N35" s="4">
        <v>3.05</v>
      </c>
      <c r="O35" s="4">
        <v>1.0496404755612501</v>
      </c>
      <c r="P35" s="4">
        <v>9.5763986236778393</v>
      </c>
    </row>
    <row r="36" spans="6:24" x14ac:dyDescent="0.2">
      <c r="F36" s="4">
        <v>3.15</v>
      </c>
      <c r="G36" s="4">
        <v>1.9900682006863799</v>
      </c>
      <c r="H36" s="4">
        <v>8.8300735711610692</v>
      </c>
      <c r="J36" s="4">
        <v>3.15</v>
      </c>
      <c r="K36" s="4">
        <v>2.1683416698412001</v>
      </c>
      <c r="L36" s="4">
        <v>9.6713490824203596</v>
      </c>
      <c r="N36" s="4">
        <v>3.15</v>
      </c>
      <c r="O36" s="4">
        <v>1.13237387469201</v>
      </c>
      <c r="P36" s="4">
        <v>10.0227475468331</v>
      </c>
    </row>
    <row r="37" spans="6:24" x14ac:dyDescent="0.2">
      <c r="F37" s="4">
        <v>3.25</v>
      </c>
      <c r="G37" s="4">
        <v>2.4314607156999699</v>
      </c>
      <c r="H37" s="4">
        <v>9.3492516037063407</v>
      </c>
      <c r="J37" s="4">
        <v>3.25</v>
      </c>
      <c r="K37" s="4">
        <v>2.78547415403734</v>
      </c>
      <c r="L37" s="4">
        <v>10.2768102600515</v>
      </c>
      <c r="N37" s="4">
        <v>3.25</v>
      </c>
      <c r="O37" s="4">
        <v>1.33410551489586</v>
      </c>
      <c r="P37" s="4">
        <v>10.582451892442901</v>
      </c>
    </row>
    <row r="38" spans="6:24" x14ac:dyDescent="0.2">
      <c r="F38" s="4">
        <v>3.35</v>
      </c>
      <c r="G38" s="4">
        <v>2.7658996920497598</v>
      </c>
      <c r="H38" s="4">
        <v>9.9767326672868002</v>
      </c>
      <c r="J38" s="4">
        <v>3.35</v>
      </c>
      <c r="K38" s="4">
        <v>3.1786762327823102</v>
      </c>
      <c r="L38" s="4">
        <v>11.0100570875604</v>
      </c>
      <c r="N38" s="4">
        <v>3.35</v>
      </c>
      <c r="O38" s="4">
        <v>1.5235634631115</v>
      </c>
      <c r="P38" s="4">
        <v>11.261692366509401</v>
      </c>
    </row>
    <row r="39" spans="6:24" x14ac:dyDescent="0.2">
      <c r="F39" s="4">
        <v>3.45</v>
      </c>
      <c r="G39" s="4">
        <v>2.9184236795412599</v>
      </c>
      <c r="H39" s="4">
        <v>10.6786546987689</v>
      </c>
      <c r="J39" s="4">
        <v>3.45</v>
      </c>
      <c r="K39" s="4">
        <v>3.33770597211271</v>
      </c>
      <c r="L39" s="4">
        <v>11.826569436633401</v>
      </c>
      <c r="N39" s="4">
        <v>3.45</v>
      </c>
      <c r="O39" s="4">
        <v>1.60102387393752</v>
      </c>
      <c r="P39" s="4">
        <v>12.018669555243999</v>
      </c>
    </row>
    <row r="40" spans="6:24" x14ac:dyDescent="0.2">
      <c r="F40" s="4">
        <v>3.55</v>
      </c>
      <c r="G40" s="4">
        <v>3.0281184837888699</v>
      </c>
      <c r="H40" s="4">
        <v>11.449943824975501</v>
      </c>
      <c r="J40" s="4">
        <v>3.55</v>
      </c>
      <c r="K40" s="4">
        <v>3.3977032747286202</v>
      </c>
      <c r="L40" s="4">
        <v>12.706050904383799</v>
      </c>
      <c r="N40" s="4">
        <v>3.55</v>
      </c>
      <c r="O40" s="4">
        <v>1.65245129785148</v>
      </c>
      <c r="P40" s="4">
        <v>12.845928380272699</v>
      </c>
    </row>
    <row r="41" spans="6:24" x14ac:dyDescent="0.2">
      <c r="F41" s="4">
        <v>3.65</v>
      </c>
      <c r="G41" s="4">
        <v>3.44843157901192</v>
      </c>
      <c r="H41" s="4">
        <v>12.3785955035819</v>
      </c>
      <c r="J41" s="4">
        <v>3.65</v>
      </c>
      <c r="K41" s="4">
        <v>3.6975592895765201</v>
      </c>
      <c r="L41" s="4">
        <v>13.717377302589201</v>
      </c>
      <c r="N41" s="4">
        <v>3.65</v>
      </c>
      <c r="O41" s="4">
        <v>1.8777090797595</v>
      </c>
      <c r="P41" s="4">
        <v>13.8396839556518</v>
      </c>
    </row>
    <row r="42" spans="6:24" x14ac:dyDescent="0.2">
      <c r="F42" s="4">
        <v>3.75</v>
      </c>
      <c r="G42" s="4">
        <v>6.5929444943002302</v>
      </c>
      <c r="H42" s="4">
        <v>14.2513258513838</v>
      </c>
      <c r="J42" s="4">
        <v>3.75</v>
      </c>
      <c r="K42" s="4">
        <v>7.4202376970257697</v>
      </c>
      <c r="L42" s="4">
        <v>15.851163901307901</v>
      </c>
      <c r="N42" s="4">
        <v>3.75</v>
      </c>
      <c r="O42" s="4">
        <v>3.7553190638862199</v>
      </c>
      <c r="P42" s="4">
        <v>15.937428316554</v>
      </c>
    </row>
    <row r="43" spans="6:24" x14ac:dyDescent="0.2">
      <c r="F43" s="4">
        <v>3.85</v>
      </c>
      <c r="G43" s="4">
        <v>8.1386306798225903</v>
      </c>
      <c r="H43" s="4">
        <v>16.6886937192698</v>
      </c>
      <c r="J43" s="4">
        <v>3.85</v>
      </c>
      <c r="K43" s="4">
        <v>9.7617475443141704</v>
      </c>
      <c r="L43" s="4">
        <v>18.805892868924801</v>
      </c>
      <c r="N43" s="4">
        <v>3.85</v>
      </c>
      <c r="O43" s="4">
        <v>4.9644018633614397</v>
      </c>
      <c r="P43" s="4">
        <v>18.860456225309001</v>
      </c>
    </row>
    <row r="44" spans="6:24" x14ac:dyDescent="0.2">
      <c r="F44" s="4">
        <v>3.95</v>
      </c>
      <c r="G44" s="4">
        <v>3.7759712119180202</v>
      </c>
      <c r="H44" s="4">
        <v>17.879121011875199</v>
      </c>
      <c r="J44" s="4">
        <v>3.95</v>
      </c>
      <c r="K44" s="4">
        <v>3.9941434926499699</v>
      </c>
      <c r="L44" s="4">
        <v>20.086294272706901</v>
      </c>
      <c r="N44" s="4">
        <v>3.95</v>
      </c>
      <c r="O44" s="4">
        <v>2.1398866446065998</v>
      </c>
      <c r="P44" s="4">
        <v>20.186695552440401</v>
      </c>
    </row>
    <row r="45" spans="6:24" x14ac:dyDescent="0.2">
      <c r="F45" s="4">
        <v>4.05</v>
      </c>
      <c r="G45" s="4">
        <v>2.9094359554941498</v>
      </c>
      <c r="H45" s="4">
        <v>18.843640141585201</v>
      </c>
      <c r="J45" s="4">
        <v>4.05</v>
      </c>
      <c r="K45" s="4">
        <v>3.1345095117580102</v>
      </c>
      <c r="L45" s="4">
        <v>21.143472947031398</v>
      </c>
      <c r="N45" s="4">
        <v>4.05</v>
      </c>
      <c r="O45" s="4">
        <v>1.64257375639059</v>
      </c>
      <c r="P45" s="4">
        <v>21.256977188734499</v>
      </c>
    </row>
    <row r="46" spans="6:24" x14ac:dyDescent="0.2">
      <c r="F46" s="4">
        <v>4.1500000000000004</v>
      </c>
      <c r="G46" s="4">
        <v>3.0340085213644001</v>
      </c>
      <c r="H46" s="4">
        <v>19.900141343609899</v>
      </c>
      <c r="J46" s="4">
        <v>4.1500000000000004</v>
      </c>
      <c r="K46" s="4">
        <v>3.2260314845216</v>
      </c>
      <c r="L46" s="4">
        <v>22.285035644379299</v>
      </c>
      <c r="N46" s="4">
        <v>4.1500000000000004</v>
      </c>
      <c r="O46" s="4">
        <v>1.7074609818016699</v>
      </c>
      <c r="P46" s="4">
        <v>22.425066904549499</v>
      </c>
      <c r="R46" s="110" t="s">
        <v>214</v>
      </c>
      <c r="S46" s="110"/>
      <c r="T46" s="110"/>
      <c r="U46" s="110"/>
      <c r="V46" s="110"/>
      <c r="W46" s="110"/>
      <c r="X46" s="110"/>
    </row>
    <row r="47" spans="6:24" x14ac:dyDescent="0.2">
      <c r="F47" s="4">
        <v>4.25</v>
      </c>
      <c r="G47" s="4">
        <v>4.8196401696553801</v>
      </c>
      <c r="H47" s="4">
        <v>21.6584679319134</v>
      </c>
      <c r="J47" s="4">
        <v>4.25</v>
      </c>
      <c r="K47" s="4">
        <v>5.3198921376093598</v>
      </c>
      <c r="L47" s="4">
        <v>24.252511130032001</v>
      </c>
      <c r="N47" s="4">
        <v>4.25</v>
      </c>
      <c r="O47" s="4">
        <v>2.6911662174050801</v>
      </c>
      <c r="P47" s="4">
        <v>24.3559959220084</v>
      </c>
      <c r="R47" s="110"/>
      <c r="S47" s="110"/>
      <c r="T47" s="110"/>
      <c r="U47" s="110"/>
      <c r="V47" s="110"/>
      <c r="W47" s="110"/>
      <c r="X47" s="110"/>
    </row>
    <row r="48" spans="6:24" x14ac:dyDescent="0.2">
      <c r="F48" s="4">
        <v>4.3499999999999996</v>
      </c>
      <c r="G48" s="4">
        <v>6.2357677133185696</v>
      </c>
      <c r="H48" s="4">
        <v>24.042668857291201</v>
      </c>
      <c r="J48" s="4">
        <v>4.3499999999999996</v>
      </c>
      <c r="K48" s="4">
        <v>7.4481730372698802</v>
      </c>
      <c r="L48" s="4">
        <v>27.134694595689901</v>
      </c>
      <c r="N48" s="4">
        <v>4.3499999999999996</v>
      </c>
      <c r="O48" s="4">
        <v>3.8096321902947099</v>
      </c>
      <c r="P48" s="4">
        <v>27.219446922390699</v>
      </c>
    </row>
    <row r="49" spans="6:16" x14ac:dyDescent="0.2">
      <c r="F49" s="4">
        <v>4.45</v>
      </c>
      <c r="G49" s="4">
        <v>3.6728142874207599</v>
      </c>
      <c r="H49" s="4">
        <v>25.512908174976101</v>
      </c>
      <c r="J49" s="4">
        <v>4.45</v>
      </c>
      <c r="K49" s="4">
        <v>3.95634924964076</v>
      </c>
      <c r="L49" s="4">
        <v>28.741220863193998</v>
      </c>
      <c r="N49" s="4">
        <v>4.45</v>
      </c>
      <c r="O49" s="4">
        <v>2.0879498685073798</v>
      </c>
      <c r="P49" s="4">
        <v>28.861921753536301</v>
      </c>
    </row>
    <row r="50" spans="6:16" x14ac:dyDescent="0.2">
      <c r="F50" s="4">
        <v>4.55</v>
      </c>
      <c r="G50" s="4">
        <v>2.7949202922599601</v>
      </c>
      <c r="H50" s="4">
        <v>26.683559442840298</v>
      </c>
      <c r="J50" s="4">
        <v>4.55</v>
      </c>
      <c r="K50" s="4">
        <v>2.9372021537711701</v>
      </c>
      <c r="L50" s="4">
        <v>29.991900289993499</v>
      </c>
      <c r="N50" s="4">
        <v>4.55</v>
      </c>
      <c r="O50" s="4">
        <v>1.6202341459002401</v>
      </c>
      <c r="P50" s="4">
        <v>30.194341786670002</v>
      </c>
    </row>
    <row r="51" spans="6:16" x14ac:dyDescent="0.2">
      <c r="F51" s="4">
        <v>4.6500000000000004</v>
      </c>
      <c r="G51" s="4">
        <v>2.6418868230067898</v>
      </c>
      <c r="H51" s="4">
        <v>27.838771639465001</v>
      </c>
      <c r="J51" s="4">
        <v>4.6500000000000004</v>
      </c>
      <c r="K51" s="4">
        <v>2.78136343234757</v>
      </c>
      <c r="L51" s="4">
        <v>31.228491625377401</v>
      </c>
      <c r="N51" s="4">
        <v>4.6500000000000004</v>
      </c>
      <c r="O51" s="4">
        <v>1.5392803105600401</v>
      </c>
      <c r="P51" s="4">
        <v>31.516375684975099</v>
      </c>
    </row>
    <row r="52" spans="6:16" x14ac:dyDescent="0.2">
      <c r="F52" s="4">
        <v>4.75</v>
      </c>
      <c r="G52" s="4">
        <v>2.6182651574589202</v>
      </c>
      <c r="H52" s="4">
        <v>29.034550660207501</v>
      </c>
      <c r="J52" s="4">
        <v>4.75</v>
      </c>
      <c r="K52" s="4">
        <v>2.7178119187379202</v>
      </c>
      <c r="L52" s="4">
        <v>32.490883898920103</v>
      </c>
      <c r="N52" s="4">
        <v>4.75</v>
      </c>
      <c r="O52" s="4">
        <v>1.56053208145041</v>
      </c>
      <c r="P52" s="4">
        <v>32.914935644195197</v>
      </c>
    </row>
    <row r="53" spans="6:16" x14ac:dyDescent="0.2">
      <c r="F53" s="4">
        <v>4.8499999999999996</v>
      </c>
      <c r="G53" s="4">
        <v>2.9807648304838201</v>
      </c>
      <c r="H53" s="4">
        <v>30.452819019776001</v>
      </c>
      <c r="J53" s="4">
        <v>4.8499999999999996</v>
      </c>
      <c r="K53" s="4">
        <v>3.03850526425434</v>
      </c>
      <c r="L53" s="4">
        <v>33.960167523870197</v>
      </c>
      <c r="N53" s="4">
        <v>4.8499999999999996</v>
      </c>
      <c r="O53" s="4">
        <v>1.7176971401300001</v>
      </c>
      <c r="P53" s="4">
        <v>34.519816490378403</v>
      </c>
    </row>
    <row r="54" spans="6:16" x14ac:dyDescent="0.2">
      <c r="F54" s="4">
        <v>4.95</v>
      </c>
      <c r="G54" s="4">
        <v>4.60859472325523</v>
      </c>
      <c r="H54" s="4">
        <v>32.734491465020398</v>
      </c>
      <c r="J54" s="4">
        <v>4.95</v>
      </c>
      <c r="K54" s="4">
        <v>5.1786741289471703</v>
      </c>
      <c r="L54" s="4">
        <v>36.556215694837597</v>
      </c>
      <c r="N54" s="4">
        <v>4.95</v>
      </c>
      <c r="O54" s="4">
        <v>2.7609257320943201</v>
      </c>
      <c r="P54" s="4">
        <v>37.207021791767502</v>
      </c>
    </row>
    <row r="55" spans="6:16" x14ac:dyDescent="0.2">
      <c r="F55" s="4">
        <v>5.05</v>
      </c>
      <c r="G55" s="4">
        <v>4.7621959271156298</v>
      </c>
      <c r="H55" s="4">
        <v>35.1881078077243</v>
      </c>
      <c r="J55" s="4">
        <v>5.05</v>
      </c>
      <c r="K55" s="4">
        <v>5.3688365974818399</v>
      </c>
      <c r="L55" s="4">
        <v>39.358357185272197</v>
      </c>
      <c r="N55" s="4">
        <v>5.05</v>
      </c>
      <c r="O55" s="4">
        <v>2.9109855220093501</v>
      </c>
      <c r="P55" s="4">
        <v>40.1559831782846</v>
      </c>
    </row>
    <row r="56" spans="6:16" x14ac:dyDescent="0.2">
      <c r="F56" s="4">
        <v>5.15</v>
      </c>
      <c r="G56" s="4">
        <v>4.4192616055173302</v>
      </c>
      <c r="H56" s="4">
        <v>37.557256242676097</v>
      </c>
      <c r="J56" s="4">
        <v>5.15</v>
      </c>
      <c r="K56" s="4">
        <v>4.9464440310112199</v>
      </c>
      <c r="L56" s="4">
        <v>42.044099119337098</v>
      </c>
      <c r="N56" s="4">
        <v>5.15</v>
      </c>
      <c r="O56" s="4">
        <v>2.6505567176135201</v>
      </c>
      <c r="P56" s="4">
        <v>42.948515356187002</v>
      </c>
    </row>
    <row r="57" spans="6:16" x14ac:dyDescent="0.2">
      <c r="F57" s="4">
        <v>5.25</v>
      </c>
      <c r="G57" s="4">
        <v>4.0709546576977402</v>
      </c>
      <c r="H57" s="4">
        <v>39.825579569204002</v>
      </c>
      <c r="J57" s="4">
        <v>5.25</v>
      </c>
      <c r="K57" s="4">
        <v>4.6302000559129199</v>
      </c>
      <c r="L57" s="4">
        <v>44.656572924095798</v>
      </c>
      <c r="N57" s="4">
        <v>5.25</v>
      </c>
      <c r="O57" s="4">
        <v>2.4599617439184001</v>
      </c>
      <c r="P57" s="4">
        <v>45.641773926341202</v>
      </c>
    </row>
    <row r="58" spans="6:16" x14ac:dyDescent="0.2">
      <c r="F58" s="4">
        <v>5.35</v>
      </c>
      <c r="G58" s="4">
        <v>2.74091131051145</v>
      </c>
      <c r="H58" s="4">
        <v>41.412348840861497</v>
      </c>
      <c r="J58" s="4">
        <v>5.35</v>
      </c>
      <c r="K58" s="4">
        <v>2.8652931881882799</v>
      </c>
      <c r="L58" s="4">
        <v>46.343555892083401</v>
      </c>
      <c r="N58" s="4">
        <v>5.35</v>
      </c>
      <c r="O58" s="4">
        <v>1.6030286123276001</v>
      </c>
      <c r="P58" s="4">
        <v>47.464317573594997</v>
      </c>
    </row>
    <row r="59" spans="6:16" x14ac:dyDescent="0.2">
      <c r="F59" s="4">
        <v>5.45</v>
      </c>
      <c r="G59" s="4">
        <v>2.3544460783372601</v>
      </c>
      <c r="H59" s="4">
        <v>42.827162134409299</v>
      </c>
      <c r="J59" s="4">
        <v>5.45</v>
      </c>
      <c r="K59" s="4">
        <v>2.4074470848642302</v>
      </c>
      <c r="L59" s="4">
        <v>47.8145863900994</v>
      </c>
      <c r="N59" s="4">
        <v>5.45</v>
      </c>
      <c r="O59" s="4">
        <v>1.3755909408201501</v>
      </c>
      <c r="P59" s="4">
        <v>49.087358226073597</v>
      </c>
    </row>
    <row r="60" spans="6:16" x14ac:dyDescent="0.2">
      <c r="F60" s="4">
        <v>5.55</v>
      </c>
      <c r="G60" s="4">
        <v>2.2787994422646198</v>
      </c>
      <c r="H60" s="4">
        <v>44.247472123899101</v>
      </c>
      <c r="J60" s="4">
        <v>5.55</v>
      </c>
      <c r="K60" s="4">
        <v>2.3201177402758502</v>
      </c>
      <c r="L60" s="4">
        <v>49.286785659303199</v>
      </c>
      <c r="N60" s="4">
        <v>5.55</v>
      </c>
      <c r="O60" s="4">
        <v>1.36929389117406</v>
      </c>
      <c r="P60" s="4">
        <v>50.762775583025302</v>
      </c>
    </row>
    <row r="61" spans="6:16" x14ac:dyDescent="0.2">
      <c r="F61" s="4">
        <v>5.65</v>
      </c>
      <c r="G61" s="4">
        <v>2.43950149663935</v>
      </c>
      <c r="H61" s="4">
        <v>45.823090955216998</v>
      </c>
      <c r="J61" s="4">
        <v>5.65</v>
      </c>
      <c r="K61" s="4">
        <v>2.5054742878711602</v>
      </c>
      <c r="L61" s="4">
        <v>50.933703653666697</v>
      </c>
      <c r="N61" s="4">
        <v>5.65</v>
      </c>
      <c r="O61" s="4">
        <v>1.4327297518821001</v>
      </c>
      <c r="P61" s="4">
        <v>52.579584554606797</v>
      </c>
    </row>
    <row r="62" spans="6:16" x14ac:dyDescent="0.2">
      <c r="F62" s="4">
        <v>5.75</v>
      </c>
      <c r="G62" s="4">
        <v>2.9379895760320198</v>
      </c>
      <c r="H62" s="4">
        <v>47.788661101513703</v>
      </c>
      <c r="J62" s="4">
        <v>5.75</v>
      </c>
      <c r="K62" s="4">
        <v>3.2020804812186898</v>
      </c>
      <c r="L62" s="4">
        <v>53.107624346886197</v>
      </c>
      <c r="N62" s="4">
        <v>5.75</v>
      </c>
      <c r="O62" s="4">
        <v>1.8272877369173499</v>
      </c>
      <c r="P62" s="4">
        <v>54.979355167579897</v>
      </c>
    </row>
    <row r="63" spans="6:16" x14ac:dyDescent="0.2">
      <c r="F63" s="4">
        <v>5.85</v>
      </c>
      <c r="G63" s="4">
        <v>2.6156714715835601</v>
      </c>
      <c r="H63" s="4">
        <v>49.599164018990699</v>
      </c>
      <c r="J63" s="4">
        <v>5.85</v>
      </c>
      <c r="K63" s="4">
        <v>2.7974079423168798</v>
      </c>
      <c r="L63" s="4">
        <v>55.075847594750499</v>
      </c>
      <c r="N63" s="4">
        <v>5.85</v>
      </c>
      <c r="O63" s="4">
        <v>1.6027408956954901</v>
      </c>
      <c r="P63" s="4">
        <v>57.158085892697798</v>
      </c>
    </row>
    <row r="64" spans="6:16" x14ac:dyDescent="0.2">
      <c r="F64" s="4">
        <v>5.95</v>
      </c>
      <c r="G64" s="4">
        <v>2.27051190176915</v>
      </c>
      <c r="H64" s="4">
        <v>51.225026275414599</v>
      </c>
      <c r="J64" s="4">
        <v>5.95</v>
      </c>
      <c r="K64" s="4">
        <v>2.30442175801543</v>
      </c>
      <c r="L64" s="4">
        <v>56.755472331227203</v>
      </c>
      <c r="N64" s="4">
        <v>5.95</v>
      </c>
      <c r="O64" s="4">
        <v>1.38600929218834</v>
      </c>
      <c r="P64" s="4">
        <v>59.1071747164521</v>
      </c>
    </row>
    <row r="65" spans="6:16" x14ac:dyDescent="0.2">
      <c r="F65" s="4">
        <v>6.05</v>
      </c>
      <c r="G65" s="4">
        <v>2.2915586078983798</v>
      </c>
      <c r="H65" s="4">
        <v>52.922985853558302</v>
      </c>
      <c r="J65" s="4">
        <v>6.05</v>
      </c>
      <c r="K65" s="4">
        <v>2.31518012759155</v>
      </c>
      <c r="L65" s="4">
        <v>58.5014656767719</v>
      </c>
      <c r="N65" s="4">
        <v>6.05</v>
      </c>
      <c r="O65" s="4">
        <v>1.39048789712377</v>
      </c>
      <c r="P65" s="4">
        <v>61.128711609532303</v>
      </c>
    </row>
    <row r="66" spans="6:16" x14ac:dyDescent="0.2">
      <c r="F66" s="4">
        <v>6.15</v>
      </c>
      <c r="G66" s="4">
        <v>2.60407316195609</v>
      </c>
      <c r="H66" s="4">
        <v>54.915991156963798</v>
      </c>
      <c r="J66" s="4">
        <v>6.15</v>
      </c>
      <c r="K66" s="4">
        <v>2.67650413831073</v>
      </c>
      <c r="L66" s="4">
        <v>60.586000508980902</v>
      </c>
      <c r="N66" s="4">
        <v>6.15</v>
      </c>
      <c r="O66" s="4">
        <v>1.57373085428819</v>
      </c>
      <c r="P66" s="4">
        <v>63.492990951956102</v>
      </c>
    </row>
    <row r="67" spans="6:16" x14ac:dyDescent="0.2">
      <c r="F67" s="4">
        <v>6.25</v>
      </c>
      <c r="G67" s="4">
        <v>3.44207984080162</v>
      </c>
      <c r="H67" s="4">
        <v>57.635635502615401</v>
      </c>
      <c r="J67" s="4">
        <v>6.25</v>
      </c>
      <c r="K67" s="4">
        <v>3.9011482973393199</v>
      </c>
      <c r="L67" s="4">
        <v>63.713142077961997</v>
      </c>
      <c r="N67" s="4">
        <v>6.25</v>
      </c>
      <c r="O67" s="4">
        <v>2.1322840057874499</v>
      </c>
      <c r="P67" s="4">
        <v>66.801389065885004</v>
      </c>
    </row>
    <row r="68" spans="6:16" x14ac:dyDescent="0.2">
      <c r="F68" s="4">
        <v>6.35</v>
      </c>
      <c r="G68" s="4">
        <v>3.3567938099707901</v>
      </c>
      <c r="H68" s="4">
        <v>60.374596808292097</v>
      </c>
      <c r="J68" s="4">
        <v>6.35</v>
      </c>
      <c r="K68" s="4">
        <v>3.8176808162853302</v>
      </c>
      <c r="L68" s="4">
        <v>66.876094544791897</v>
      </c>
      <c r="N68" s="4">
        <v>6.35</v>
      </c>
      <c r="O68" s="4">
        <v>2.0566663596285601</v>
      </c>
      <c r="P68" s="4">
        <v>70.095386772014706</v>
      </c>
    </row>
    <row r="69" spans="6:16" x14ac:dyDescent="0.2">
      <c r="F69" s="4">
        <v>6.45</v>
      </c>
      <c r="G69" s="4">
        <v>3.0549228062191198</v>
      </c>
      <c r="H69" s="4">
        <v>62.945129685782199</v>
      </c>
      <c r="J69" s="4">
        <v>6.45</v>
      </c>
      <c r="K69" s="4">
        <v>3.2986229517401902</v>
      </c>
      <c r="L69" s="4">
        <v>69.702063886541197</v>
      </c>
      <c r="N69" s="4">
        <v>6.45</v>
      </c>
      <c r="O69" s="4">
        <v>1.7931938654531601</v>
      </c>
      <c r="P69" s="4">
        <v>73.058748566331005</v>
      </c>
    </row>
    <row r="70" spans="6:16" x14ac:dyDescent="0.2">
      <c r="F70" s="4">
        <v>6.55</v>
      </c>
      <c r="G70" s="4">
        <v>4.0464786201323601</v>
      </c>
      <c r="H70" s="4">
        <v>66.456419053601806</v>
      </c>
      <c r="J70" s="4">
        <v>6.55</v>
      </c>
      <c r="K70" s="4">
        <v>4.7084598884629596</v>
      </c>
      <c r="L70" s="4">
        <v>73.849190814463796</v>
      </c>
      <c r="N70" s="4">
        <v>6.55</v>
      </c>
      <c r="O70" s="4">
        <v>2.4928136204934401</v>
      </c>
      <c r="P70" s="4">
        <v>77.3070600229387</v>
      </c>
    </row>
    <row r="71" spans="6:16" x14ac:dyDescent="0.2">
      <c r="F71" s="4">
        <v>6.65</v>
      </c>
      <c r="G71" s="4">
        <v>4.2545903568440897</v>
      </c>
      <c r="H71" s="4">
        <v>70.262246759365496</v>
      </c>
      <c r="J71" s="4">
        <v>6.65</v>
      </c>
      <c r="K71" s="4">
        <v>5.1481771106534504</v>
      </c>
      <c r="L71" s="4">
        <v>78.516647134782502</v>
      </c>
      <c r="N71" s="4">
        <v>6.65</v>
      </c>
      <c r="O71" s="4">
        <v>2.6549026002412499</v>
      </c>
      <c r="P71" s="4">
        <v>81.970689435452996</v>
      </c>
    </row>
    <row r="72" spans="6:16" x14ac:dyDescent="0.2">
      <c r="F72" s="4">
        <v>6.75</v>
      </c>
      <c r="G72" s="4">
        <v>3.1014939478524202</v>
      </c>
      <c r="H72" s="4">
        <v>73.120866907474294</v>
      </c>
      <c r="J72" s="4">
        <v>6.75</v>
      </c>
      <c r="K72" s="4">
        <v>3.4797450918851598</v>
      </c>
      <c r="L72" s="4">
        <v>81.783821316249899</v>
      </c>
      <c r="N72" s="4">
        <v>6.75</v>
      </c>
      <c r="O72" s="4">
        <v>1.8430692597843701</v>
      </c>
      <c r="P72" s="4">
        <v>85.306359118134296</v>
      </c>
    </row>
    <row r="73" spans="6:16" x14ac:dyDescent="0.2">
      <c r="F73" s="4">
        <v>6.85</v>
      </c>
      <c r="G73" s="4">
        <v>2.6617495202503099</v>
      </c>
      <c r="H73" s="4">
        <v>75.650494702634703</v>
      </c>
      <c r="J73" s="4">
        <v>6.85</v>
      </c>
      <c r="K73" s="4">
        <v>2.9180803604342</v>
      </c>
      <c r="L73" s="4">
        <v>84.609193704973194</v>
      </c>
      <c r="N73" s="4">
        <v>6.85</v>
      </c>
      <c r="O73" s="4">
        <v>1.6004375493415399</v>
      </c>
      <c r="P73" s="4">
        <v>88.289346246973295</v>
      </c>
    </row>
    <row r="74" spans="6:16" x14ac:dyDescent="0.2">
      <c r="F74" s="4">
        <v>6.95</v>
      </c>
      <c r="G74" s="4">
        <v>2.5726666864430801</v>
      </c>
      <c r="H74" s="4">
        <v>78.165806927044898</v>
      </c>
      <c r="J74" s="4">
        <v>6.95</v>
      </c>
      <c r="K74" s="4">
        <v>2.7831779179770102</v>
      </c>
      <c r="L74" s="4">
        <v>87.3844094720736</v>
      </c>
      <c r="N74" s="4">
        <v>6.95</v>
      </c>
      <c r="O74" s="4">
        <v>1.5646069446520401</v>
      </c>
      <c r="P74" s="4">
        <v>91.291321524149296</v>
      </c>
    </row>
    <row r="75" spans="6:16" x14ac:dyDescent="0.2">
      <c r="F75" s="4">
        <v>7.05</v>
      </c>
      <c r="G75" s="4">
        <v>2.60136677768919</v>
      </c>
      <c r="H75" s="4">
        <v>80.783140244270697</v>
      </c>
      <c r="J75" s="4">
        <v>7.05</v>
      </c>
      <c r="K75" s="4">
        <v>2.79473117318696</v>
      </c>
      <c r="L75" s="4">
        <v>90.253855845269698</v>
      </c>
      <c r="N75" s="4">
        <v>7.05</v>
      </c>
      <c r="O75" s="4">
        <v>1.5778526646920299</v>
      </c>
      <c r="P75" s="4">
        <v>94.406461067923999</v>
      </c>
    </row>
    <row r="76" spans="6:16" x14ac:dyDescent="0.2">
      <c r="F76" s="4">
        <v>7.15</v>
      </c>
      <c r="G76" s="4">
        <v>2.7597559431170202</v>
      </c>
      <c r="H76" s="4">
        <v>83.640262391727106</v>
      </c>
      <c r="J76" s="4">
        <v>7.15</v>
      </c>
      <c r="K76" s="4">
        <v>3.02998485536247</v>
      </c>
      <c r="L76" s="4">
        <v>93.451054564648402</v>
      </c>
      <c r="N76" s="4">
        <v>7.15</v>
      </c>
      <c r="O76" s="4">
        <v>1.7057416949530799</v>
      </c>
      <c r="P76" s="4">
        <v>97.870268892570394</v>
      </c>
    </row>
    <row r="77" spans="6:16" x14ac:dyDescent="0.2">
      <c r="F77" s="4">
        <v>7.25</v>
      </c>
      <c r="G77" s="4">
        <v>2.8036353946039601</v>
      </c>
      <c r="H77" s="4">
        <v>86.624521304227002</v>
      </c>
      <c r="J77" s="4">
        <v>7.25</v>
      </c>
      <c r="K77" s="4">
        <v>3.0764010559731099</v>
      </c>
      <c r="L77" s="4">
        <v>96.785382819691804</v>
      </c>
      <c r="N77" s="4">
        <v>7.25</v>
      </c>
      <c r="O77" s="4">
        <v>1.7268160333328899</v>
      </c>
      <c r="P77" s="4">
        <v>101.475468331846</v>
      </c>
    </row>
    <row r="78" spans="6:16" x14ac:dyDescent="0.2">
      <c r="F78" s="4">
        <v>7.35</v>
      </c>
      <c r="G78" s="4">
        <v>2.77291161380451</v>
      </c>
      <c r="H78" s="4">
        <v>89.655508172559905</v>
      </c>
      <c r="J78" s="4">
        <v>7.35</v>
      </c>
      <c r="K78" s="4">
        <v>2.9381433549138398</v>
      </c>
      <c r="L78" s="4">
        <v>100.06297540239299</v>
      </c>
      <c r="N78" s="4">
        <v>7.35</v>
      </c>
      <c r="O78" s="4">
        <v>1.6754122978616901</v>
      </c>
      <c r="P78" s="4">
        <v>105.07066394800501</v>
      </c>
    </row>
    <row r="79" spans="6:16" x14ac:dyDescent="0.2">
      <c r="F79" s="4">
        <v>7.45</v>
      </c>
      <c r="G79" s="4">
        <v>3.1127094439215202</v>
      </c>
      <c r="H79" s="4">
        <v>93.150790678570104</v>
      </c>
      <c r="J79" s="4">
        <v>7.45</v>
      </c>
      <c r="K79" s="4">
        <v>3.41067664043528</v>
      </c>
      <c r="L79" s="4">
        <v>103.962247433887</v>
      </c>
      <c r="N79" s="4">
        <v>7.45</v>
      </c>
      <c r="O79" s="4">
        <v>1.9080256643070499</v>
      </c>
      <c r="P79" s="4">
        <v>109.27723970944299</v>
      </c>
    </row>
    <row r="80" spans="6:16" x14ac:dyDescent="0.2">
      <c r="F80" s="4">
        <v>7.55</v>
      </c>
      <c r="G80" s="4">
        <v>3.2802411634542898</v>
      </c>
      <c r="H80" s="4">
        <v>96.935525568696605</v>
      </c>
      <c r="J80" s="4">
        <v>7.55</v>
      </c>
      <c r="K80" s="4">
        <v>3.6971363706409401</v>
      </c>
      <c r="L80" s="4">
        <v>108.300317641847</v>
      </c>
      <c r="N80" s="4">
        <v>7.55</v>
      </c>
      <c r="O80" s="4">
        <v>2.0638452510706702</v>
      </c>
      <c r="P80" s="4">
        <v>113.95017204027</v>
      </c>
    </row>
    <row r="81" spans="6:16" x14ac:dyDescent="0.2">
      <c r="F81" s="4">
        <v>7.65</v>
      </c>
      <c r="G81" s="4">
        <v>3.0719443751536799</v>
      </c>
      <c r="H81" s="4">
        <v>100.57470070188501</v>
      </c>
      <c r="J81" s="4">
        <v>7.65</v>
      </c>
      <c r="K81" s="4">
        <v>3.4456536600077601</v>
      </c>
      <c r="L81" s="4">
        <v>112.455682521529</v>
      </c>
      <c r="N81" s="4">
        <v>7.65</v>
      </c>
      <c r="O81" s="4">
        <v>1.9339201203221199</v>
      </c>
      <c r="P81" s="4">
        <v>118.445839174206</v>
      </c>
    </row>
    <row r="82" spans="6:16" x14ac:dyDescent="0.2">
      <c r="F82" s="4">
        <v>7.75</v>
      </c>
      <c r="G82" s="4">
        <v>2.6401263178775101</v>
      </c>
      <c r="H82" s="4">
        <v>103.784746970776</v>
      </c>
      <c r="J82" s="4">
        <v>7.75</v>
      </c>
      <c r="K82" s="4">
        <v>2.8255622631196702</v>
      </c>
      <c r="L82" s="4">
        <v>115.959796784622</v>
      </c>
      <c r="N82" s="4">
        <v>7.75</v>
      </c>
      <c r="O82" s="4">
        <v>1.61002220543136</v>
      </c>
      <c r="P82" s="4">
        <v>122.28698865808499</v>
      </c>
    </row>
    <row r="83" spans="6:16" x14ac:dyDescent="0.2">
      <c r="F83" s="4">
        <v>7.85</v>
      </c>
      <c r="G83" s="4">
        <v>2.4788280018331301</v>
      </c>
      <c r="H83" s="4">
        <v>106.878227043744</v>
      </c>
      <c r="J83" s="4">
        <v>7.85</v>
      </c>
      <c r="K83" s="4">
        <v>2.57052375699155</v>
      </c>
      <c r="L83" s="4">
        <v>119.236798698014</v>
      </c>
      <c r="N83" s="4">
        <v>7.85</v>
      </c>
      <c r="O83" s="4">
        <v>1.5228628999102301</v>
      </c>
      <c r="P83" s="4">
        <v>126.014464126417</v>
      </c>
    </row>
    <row r="84" spans="6:16" x14ac:dyDescent="0.2">
      <c r="F84" s="4">
        <v>7.95</v>
      </c>
      <c r="G84" s="4">
        <v>2.6527719423120701</v>
      </c>
      <c r="H84" s="4">
        <v>110.272285779866</v>
      </c>
      <c r="J84" s="4">
        <v>7.95</v>
      </c>
      <c r="K84" s="4">
        <v>2.80927337500031</v>
      </c>
      <c r="L84" s="4">
        <v>122.903648639732</v>
      </c>
      <c r="N84" s="4">
        <v>7.95</v>
      </c>
      <c r="O84" s="4">
        <v>1.63610273447454</v>
      </c>
      <c r="P84" s="4">
        <v>130.12208487319899</v>
      </c>
    </row>
    <row r="85" spans="6:16" x14ac:dyDescent="0.2">
      <c r="F85" s="4">
        <v>8.0500000000000007</v>
      </c>
      <c r="G85" s="4">
        <v>2.7645861423084699</v>
      </c>
      <c r="H85" s="4">
        <v>113.900745376131</v>
      </c>
      <c r="J85" s="4">
        <v>8.0500000000000007</v>
      </c>
      <c r="K85" s="4">
        <v>3.0258633043461902</v>
      </c>
      <c r="L85" s="4">
        <v>126.947257629216</v>
      </c>
      <c r="N85" s="4">
        <v>8.0500000000000007</v>
      </c>
      <c r="O85" s="4">
        <v>1.7464291652938</v>
      </c>
      <c r="P85" s="4">
        <v>134.617369695425</v>
      </c>
    </row>
    <row r="86" spans="6:16" x14ac:dyDescent="0.2">
      <c r="F86" s="4">
        <v>8.15</v>
      </c>
      <c r="G86" s="4">
        <v>2.4823120254887501</v>
      </c>
      <c r="H86" s="4">
        <v>117.240658637061</v>
      </c>
      <c r="J86" s="4">
        <v>8.15</v>
      </c>
      <c r="K86" s="4">
        <v>2.6111068264111101</v>
      </c>
      <c r="L86" s="4">
        <v>130.534266674626</v>
      </c>
      <c r="N86" s="4">
        <v>8.15</v>
      </c>
      <c r="O86" s="4">
        <v>1.5474369601815301</v>
      </c>
      <c r="P86" s="4">
        <v>138.70026761819801</v>
      </c>
    </row>
    <row r="87" spans="6:16" x14ac:dyDescent="0.2">
      <c r="F87" s="4">
        <v>8.25</v>
      </c>
      <c r="G87" s="4">
        <v>2.3034977901835698</v>
      </c>
      <c r="H87" s="4">
        <v>120.416299213549</v>
      </c>
      <c r="J87" s="4">
        <v>8.25</v>
      </c>
      <c r="K87" s="4">
        <v>2.3716984613923802</v>
      </c>
      <c r="L87" s="4">
        <v>133.87810847578999</v>
      </c>
      <c r="N87" s="4">
        <v>8.25</v>
      </c>
      <c r="O87" s="4">
        <v>1.439667112787</v>
      </c>
      <c r="P87" s="4">
        <v>142.592519434178</v>
      </c>
    </row>
    <row r="88" spans="6:16" x14ac:dyDescent="0.2">
      <c r="F88" s="4">
        <v>8.35</v>
      </c>
      <c r="G88" s="4">
        <v>2.26618654950695</v>
      </c>
      <c r="H88" s="4">
        <v>123.61705546226599</v>
      </c>
      <c r="J88" s="4">
        <v>8.35</v>
      </c>
      <c r="K88" s="4">
        <v>2.3175505128562102</v>
      </c>
      <c r="L88" s="4">
        <v>137.22396734981101</v>
      </c>
      <c r="N88" s="4">
        <v>8.35</v>
      </c>
      <c r="O88" s="4">
        <v>1.4179829366994801</v>
      </c>
      <c r="P88" s="4">
        <v>146.51949789728499</v>
      </c>
    </row>
    <row r="89" spans="6:16" x14ac:dyDescent="0.2">
      <c r="F89" s="4">
        <v>8.4499999999999993</v>
      </c>
      <c r="G89" s="4">
        <v>2.28725420552365</v>
      </c>
      <c r="H89" s="4">
        <v>126.926453000229</v>
      </c>
      <c r="J89" s="4">
        <v>8.4499999999999993</v>
      </c>
      <c r="K89" s="4">
        <v>2.3225069278400801</v>
      </c>
      <c r="L89" s="4">
        <v>140.65977761928801</v>
      </c>
      <c r="N89" s="4">
        <v>8.4499999999999993</v>
      </c>
      <c r="O89" s="4">
        <v>1.4378915285976399</v>
      </c>
      <c r="P89" s="4">
        <v>150.597680642283</v>
      </c>
    </row>
    <row r="90" spans="6:16" x14ac:dyDescent="0.2">
      <c r="F90" s="4">
        <v>8.5500000000000007</v>
      </c>
      <c r="G90" s="4">
        <v>2.4459908499493399</v>
      </c>
      <c r="H90" s="4">
        <v>130.54872730347799</v>
      </c>
      <c r="J90" s="4">
        <v>8.5500000000000007</v>
      </c>
      <c r="K90" s="4">
        <v>2.5170282563157098</v>
      </c>
      <c r="L90" s="4">
        <v>144.46742050313699</v>
      </c>
      <c r="N90" s="4">
        <v>8.5500000000000007</v>
      </c>
      <c r="O90" s="4">
        <v>1.5450386914695999</v>
      </c>
      <c r="P90" s="4">
        <v>155.08423601376299</v>
      </c>
    </row>
    <row r="91" spans="6:16" x14ac:dyDescent="0.2">
      <c r="F91" s="4">
        <v>8.65</v>
      </c>
      <c r="G91" s="4">
        <v>2.6967383778433498</v>
      </c>
      <c r="H91" s="4">
        <v>134.636456986844</v>
      </c>
      <c r="J91" s="4">
        <v>8.65</v>
      </c>
      <c r="K91" s="4">
        <v>2.8882656575461398</v>
      </c>
      <c r="L91" s="4">
        <v>148.92687953802101</v>
      </c>
      <c r="N91" s="4">
        <v>8.65</v>
      </c>
      <c r="O91" s="4">
        <v>1.71934229856697</v>
      </c>
      <c r="P91" s="4">
        <v>160.19408691219499</v>
      </c>
    </row>
    <row r="92" spans="6:16" x14ac:dyDescent="0.2">
      <c r="F92" s="4">
        <v>8.75</v>
      </c>
      <c r="G92" s="4">
        <v>2.71773192061874</v>
      </c>
      <c r="H92" s="4">
        <v>138.850212015414</v>
      </c>
      <c r="J92" s="4">
        <v>8.75</v>
      </c>
      <c r="K92" s="4">
        <v>2.9619607815242102</v>
      </c>
      <c r="L92" s="4">
        <v>153.60564654725499</v>
      </c>
      <c r="N92" s="4">
        <v>8.75</v>
      </c>
      <c r="O92" s="4">
        <v>1.75914557546454</v>
      </c>
      <c r="P92" s="4">
        <v>165.54396584681999</v>
      </c>
    </row>
    <row r="93" spans="6:16" x14ac:dyDescent="0.2">
      <c r="F93" s="4">
        <v>8.85</v>
      </c>
      <c r="G93" s="4">
        <v>2.6082029949707399</v>
      </c>
      <c r="H93" s="4">
        <v>142.98642134892501</v>
      </c>
      <c r="J93" s="4">
        <v>8.85</v>
      </c>
      <c r="K93" s="4">
        <v>2.7642978991796898</v>
      </c>
      <c r="L93" s="4">
        <v>158.077729567711</v>
      </c>
      <c r="N93" s="4">
        <v>8.85</v>
      </c>
      <c r="O93" s="4">
        <v>1.67242784100052</v>
      </c>
      <c r="P93" s="4">
        <v>170.74729195871001</v>
      </c>
    </row>
    <row r="94" spans="6:16" x14ac:dyDescent="0.2">
      <c r="F94" s="4">
        <v>8.9499999999999993</v>
      </c>
      <c r="G94" s="4">
        <v>2.7003569546454198</v>
      </c>
      <c r="H94" s="4">
        <v>147.36751754714399</v>
      </c>
      <c r="J94" s="4">
        <v>8.9499999999999993</v>
      </c>
      <c r="K94" s="4">
        <v>2.9315148870897199</v>
      </c>
      <c r="L94" s="4">
        <v>162.921664053688</v>
      </c>
      <c r="N94" s="4">
        <v>8.9499999999999993</v>
      </c>
      <c r="O94" s="4">
        <v>1.7522692011235801</v>
      </c>
      <c r="P94" s="4">
        <v>176.32267108449</v>
      </c>
    </row>
    <row r="95" spans="6:16" x14ac:dyDescent="0.2">
      <c r="F95" s="4">
        <v>9.0500000000000007</v>
      </c>
      <c r="G95" s="4">
        <v>2.6441053008535</v>
      </c>
      <c r="H95" s="4">
        <v>151.755209780494</v>
      </c>
      <c r="J95" s="4">
        <v>9.0500000000000007</v>
      </c>
      <c r="K95" s="4">
        <v>2.9159518224261398</v>
      </c>
      <c r="L95" s="4">
        <v>167.849605539724</v>
      </c>
      <c r="N95" s="4">
        <v>9.0500000000000007</v>
      </c>
      <c r="O95" s="4">
        <v>1.7355489304424201</v>
      </c>
      <c r="P95" s="4">
        <v>181.96884159551399</v>
      </c>
    </row>
    <row r="96" spans="6:16" x14ac:dyDescent="0.2">
      <c r="F96" s="4">
        <v>9.15</v>
      </c>
      <c r="G96" s="4">
        <v>2.33171969370559</v>
      </c>
      <c r="H96" s="4">
        <v>155.71004022856499</v>
      </c>
      <c r="J96" s="4">
        <v>9.15</v>
      </c>
      <c r="K96" s="4">
        <v>2.4382789124760702</v>
      </c>
      <c r="L96" s="4">
        <v>172.076680187129</v>
      </c>
      <c r="N96" s="4">
        <v>9.15</v>
      </c>
      <c r="O96" s="4">
        <v>1.4863192311887501</v>
      </c>
      <c r="P96" s="4">
        <v>186.911685994647</v>
      </c>
    </row>
    <row r="97" spans="6:16" x14ac:dyDescent="0.2">
      <c r="F97" s="4">
        <v>9.25</v>
      </c>
      <c r="G97" s="4">
        <v>2.2230009740853198</v>
      </c>
      <c r="H97" s="4">
        <v>159.56512074610001</v>
      </c>
      <c r="J97" s="4">
        <v>9.25</v>
      </c>
      <c r="K97" s="4">
        <v>2.2600976492354699</v>
      </c>
      <c r="L97" s="4">
        <v>176.086476500472</v>
      </c>
      <c r="N97" s="4">
        <v>9.25</v>
      </c>
      <c r="O97" s="4">
        <v>1.41045413293998</v>
      </c>
      <c r="P97" s="4">
        <v>191.70555626353999</v>
      </c>
    </row>
    <row r="98" spans="6:16" x14ac:dyDescent="0.2">
      <c r="F98" s="4">
        <v>9.35</v>
      </c>
      <c r="G98" s="4">
        <v>2.28741559785357</v>
      </c>
      <c r="H98" s="4">
        <v>163.617997752999</v>
      </c>
      <c r="J98" s="4">
        <v>9.35</v>
      </c>
      <c r="K98" s="4">
        <v>2.3806015703786501</v>
      </c>
      <c r="L98" s="4">
        <v>180.401026759204</v>
      </c>
      <c r="N98" s="4">
        <v>9.35</v>
      </c>
      <c r="O98" s="4">
        <v>1.4560462452508001</v>
      </c>
      <c r="P98" s="4">
        <v>196.76175608512801</v>
      </c>
    </row>
    <row r="99" spans="6:16" x14ac:dyDescent="0.2">
      <c r="F99" s="4">
        <v>9.4499999999999993</v>
      </c>
      <c r="G99" s="4">
        <v>2.3533005156521201</v>
      </c>
      <c r="H99" s="4">
        <v>167.87935054423301</v>
      </c>
      <c r="J99" s="4">
        <v>9.4499999999999993</v>
      </c>
      <c r="K99" s="4">
        <v>2.5505405280928501</v>
      </c>
      <c r="L99" s="4">
        <v>185.12070076001501</v>
      </c>
      <c r="N99" s="4">
        <v>9.4499999999999993</v>
      </c>
      <c r="O99" s="4">
        <v>1.53385381529924</v>
      </c>
      <c r="P99" s="4">
        <v>202.20249776984801</v>
      </c>
    </row>
    <row r="100" spans="6:16" x14ac:dyDescent="0.2">
      <c r="F100" s="4">
        <v>9.5500000000000007</v>
      </c>
      <c r="G100" s="4">
        <v>2.2838058133632999</v>
      </c>
      <c r="H100" s="4">
        <v>172.10211773801799</v>
      </c>
      <c r="J100" s="4">
        <v>9.5500000000000007</v>
      </c>
      <c r="K100" s="4">
        <v>2.44569463449022</v>
      </c>
      <c r="L100" s="4">
        <v>189.74312168730299</v>
      </c>
      <c r="N100" s="4">
        <v>9.5500000000000007</v>
      </c>
      <c r="O100" s="4">
        <v>1.4677392128778199</v>
      </c>
      <c r="P100" s="4">
        <v>207.51968905314101</v>
      </c>
    </row>
    <row r="101" spans="6:16" x14ac:dyDescent="0.2">
      <c r="F101" s="4">
        <v>9.65</v>
      </c>
      <c r="G101" s="4">
        <v>2.2223871890846199</v>
      </c>
      <c r="H101" s="4">
        <v>176.297171919736</v>
      </c>
      <c r="J101" s="4">
        <v>9.65</v>
      </c>
      <c r="K101" s="4">
        <v>2.3253863340407599</v>
      </c>
      <c r="L101" s="4">
        <v>194.238303648011</v>
      </c>
      <c r="N101" s="4">
        <v>9.65</v>
      </c>
      <c r="O101" s="4">
        <v>1.3997703947308</v>
      </c>
      <c r="P101" s="4">
        <v>212.69727284312401</v>
      </c>
    </row>
    <row r="102" spans="6:16" x14ac:dyDescent="0.2">
      <c r="F102" s="4">
        <v>9.75</v>
      </c>
      <c r="G102" s="4">
        <v>2.21048866509881</v>
      </c>
      <c r="H102" s="4">
        <v>180.558899211133</v>
      </c>
      <c r="J102" s="4">
        <v>9.75</v>
      </c>
      <c r="K102" s="4">
        <v>2.3127196398489098</v>
      </c>
      <c r="L102" s="4">
        <v>198.80466126057601</v>
      </c>
      <c r="N102" s="4">
        <v>9.75</v>
      </c>
      <c r="O102" s="4">
        <v>1.40616335996599</v>
      </c>
      <c r="P102" s="4">
        <v>218.00700904804299</v>
      </c>
    </row>
    <row r="103" spans="6:16" x14ac:dyDescent="0.2">
      <c r="F103" s="4">
        <v>9.85</v>
      </c>
      <c r="G103" s="4">
        <v>2.28240355120503</v>
      </c>
      <c r="H103" s="4">
        <v>185.04694540753999</v>
      </c>
      <c r="J103" s="4">
        <v>9.85</v>
      </c>
      <c r="K103" s="4">
        <v>2.37962269822606</v>
      </c>
      <c r="L103" s="4">
        <v>203.59561773641599</v>
      </c>
      <c r="N103" s="4">
        <v>9.85</v>
      </c>
      <c r="O103" s="4">
        <v>1.4504280330741299</v>
      </c>
      <c r="P103" s="4">
        <v>223.596724863004</v>
      </c>
    </row>
    <row r="104" spans="6:16" x14ac:dyDescent="0.2">
      <c r="F104" s="4">
        <v>9.9499999999999993</v>
      </c>
      <c r="G104" s="4">
        <v>2.4390209840163202</v>
      </c>
      <c r="H104" s="4">
        <v>189.939790038295</v>
      </c>
      <c r="J104" s="4">
        <v>9.9499999999999993</v>
      </c>
      <c r="K104" s="4">
        <v>2.6042234467452898</v>
      </c>
      <c r="L104" s="4">
        <v>208.938133673491</v>
      </c>
      <c r="N104" s="4">
        <v>9.9499999999999993</v>
      </c>
      <c r="O104" s="4">
        <v>1.55902134949029</v>
      </c>
      <c r="P104" s="4">
        <v>229.72773034280601</v>
      </c>
    </row>
    <row r="105" spans="6:16" x14ac:dyDescent="0.2">
      <c r="F105" s="4">
        <v>10.050000000000001</v>
      </c>
      <c r="G105" s="4">
        <v>2.5202748566762199</v>
      </c>
      <c r="H105" s="4">
        <v>195.09751501020801</v>
      </c>
      <c r="J105" s="4">
        <v>10.050000000000001</v>
      </c>
      <c r="K105" s="4">
        <v>2.7860717524398702</v>
      </c>
      <c r="L105" s="4">
        <v>214.76174347985901</v>
      </c>
      <c r="N105" s="4">
        <v>10.050000000000001</v>
      </c>
      <c r="O105" s="4">
        <v>1.6402473083192</v>
      </c>
      <c r="P105" s="4">
        <v>236.308270676691</v>
      </c>
    </row>
  </sheetData>
  <mergeCells count="5">
    <mergeCell ref="B3:D3"/>
    <mergeCell ref="F3:H3"/>
    <mergeCell ref="J3:L3"/>
    <mergeCell ref="N3:P3"/>
    <mergeCell ref="R46:X47"/>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71733-12B0-A04B-B9BB-30DEF04CABB1}">
  <dimension ref="A1:Y203"/>
  <sheetViews>
    <sheetView topLeftCell="C1" zoomScale="114" zoomScaleNormal="185" workbookViewId="0">
      <selection activeCell="K12" sqref="K12"/>
    </sheetView>
  </sheetViews>
  <sheetFormatPr baseColWidth="10" defaultRowHeight="16" x14ac:dyDescent="0.2"/>
  <cols>
    <col min="1" max="1" width="10.83203125" style="4"/>
    <col min="2" max="2" width="12.33203125" style="4" bestFit="1" customWidth="1"/>
    <col min="3" max="4" width="10.83203125" style="4"/>
    <col min="5" max="5" width="12.33203125" style="4" bestFit="1" customWidth="1"/>
    <col min="6" max="7" width="10.83203125" style="4"/>
    <col min="8" max="8" width="12.33203125" style="4" bestFit="1" customWidth="1"/>
    <col min="9" max="10" width="10.83203125" style="4"/>
    <col min="11" max="11" width="12.5" style="4" bestFit="1" customWidth="1"/>
    <col min="12" max="15" width="10.83203125" style="4"/>
    <col min="16" max="16" width="11.83203125" style="4" customWidth="1"/>
    <col min="17" max="20" width="10.83203125" style="4"/>
    <col min="21" max="21" width="15.83203125" style="4" customWidth="1"/>
    <col min="22" max="16384" width="10.83203125" style="4"/>
  </cols>
  <sheetData>
    <row r="1" spans="1:14" x14ac:dyDescent="0.2">
      <c r="A1" s="4" t="s">
        <v>212</v>
      </c>
    </row>
    <row r="3" spans="1:14" x14ac:dyDescent="0.2">
      <c r="B3" s="102" t="s">
        <v>50</v>
      </c>
      <c r="C3" s="102"/>
      <c r="E3" s="102" t="s">
        <v>51</v>
      </c>
      <c r="F3" s="102"/>
      <c r="H3" s="102" t="s">
        <v>52</v>
      </c>
      <c r="I3" s="102"/>
      <c r="K3" s="102" t="s">
        <v>53</v>
      </c>
      <c r="L3" s="102"/>
      <c r="N3" s="77" t="s">
        <v>215</v>
      </c>
    </row>
    <row r="4" spans="1:14" x14ac:dyDescent="0.2">
      <c r="B4" s="49" t="s">
        <v>201</v>
      </c>
      <c r="C4" s="49" t="s">
        <v>202</v>
      </c>
      <c r="E4" s="49" t="s">
        <v>201</v>
      </c>
      <c r="F4" s="49" t="s">
        <v>202</v>
      </c>
      <c r="H4" s="49" t="s">
        <v>201</v>
      </c>
      <c r="I4" s="49" t="s">
        <v>202</v>
      </c>
      <c r="K4" s="49" t="s">
        <v>201</v>
      </c>
      <c r="L4" s="49" t="s">
        <v>202</v>
      </c>
      <c r="N4" s="10" t="s">
        <v>210</v>
      </c>
    </row>
    <row r="5" spans="1:14" x14ac:dyDescent="0.2">
      <c r="E5" s="4">
        <v>0.105</v>
      </c>
      <c r="F5" s="4">
        <v>0</v>
      </c>
      <c r="H5" s="33">
        <v>0.105</v>
      </c>
      <c r="I5" s="12">
        <v>0</v>
      </c>
      <c r="K5" s="4">
        <v>0.1125</v>
      </c>
      <c r="L5" s="4">
        <v>0</v>
      </c>
    </row>
    <row r="6" spans="1:14" x14ac:dyDescent="0.2">
      <c r="E6" s="4">
        <v>0.17499999999999999</v>
      </c>
      <c r="F6" s="4">
        <v>0</v>
      </c>
      <c r="H6" s="33">
        <v>0.17499999999999999</v>
      </c>
      <c r="I6" s="12">
        <v>0</v>
      </c>
      <c r="K6" s="4">
        <v>0.1875</v>
      </c>
      <c r="L6" s="4">
        <v>0</v>
      </c>
    </row>
    <row r="7" spans="1:14" x14ac:dyDescent="0.2">
      <c r="E7" s="4">
        <v>0.245</v>
      </c>
      <c r="F7" s="4">
        <v>0</v>
      </c>
      <c r="H7" s="33">
        <v>0.245</v>
      </c>
      <c r="I7" s="12">
        <v>0</v>
      </c>
      <c r="K7" s="4">
        <v>0.26250000000000001</v>
      </c>
      <c r="L7" s="4">
        <v>0</v>
      </c>
    </row>
    <row r="8" spans="1:14" x14ac:dyDescent="0.2">
      <c r="E8" s="4">
        <v>0.315</v>
      </c>
      <c r="F8" s="4">
        <v>0</v>
      </c>
      <c r="H8" s="33">
        <v>0.315</v>
      </c>
      <c r="I8" s="12">
        <v>0</v>
      </c>
      <c r="K8" s="4">
        <v>0.33750000000000002</v>
      </c>
      <c r="L8" s="4">
        <v>0</v>
      </c>
    </row>
    <row r="9" spans="1:14" x14ac:dyDescent="0.2">
      <c r="E9" s="4">
        <v>0.38500000000000001</v>
      </c>
      <c r="F9" s="4">
        <v>0</v>
      </c>
      <c r="H9" s="33">
        <v>0.38500000000000001</v>
      </c>
      <c r="I9" s="12">
        <v>0</v>
      </c>
      <c r="K9" s="4">
        <v>0.41249999999999998</v>
      </c>
      <c r="L9" s="4">
        <v>0</v>
      </c>
    </row>
    <row r="10" spans="1:14" x14ac:dyDescent="0.2">
      <c r="E10" s="4">
        <v>0.45500000000000002</v>
      </c>
      <c r="F10" s="4">
        <v>0</v>
      </c>
      <c r="H10" s="33">
        <v>0.45500000000000002</v>
      </c>
      <c r="I10" s="12">
        <v>0</v>
      </c>
      <c r="K10" s="4">
        <v>0.48749999999999999</v>
      </c>
      <c r="L10" s="4">
        <v>0</v>
      </c>
      <c r="N10" s="10" t="s">
        <v>209</v>
      </c>
    </row>
    <row r="11" spans="1:14" x14ac:dyDescent="0.2">
      <c r="E11" s="4">
        <v>0.52500000000000002</v>
      </c>
      <c r="F11" s="4">
        <v>0</v>
      </c>
      <c r="H11" s="33">
        <v>0.52500000000000002</v>
      </c>
      <c r="I11" s="12">
        <v>0</v>
      </c>
      <c r="K11" s="4">
        <v>0.5625</v>
      </c>
      <c r="L11" s="4">
        <v>0</v>
      </c>
    </row>
    <row r="12" spans="1:14" x14ac:dyDescent="0.2">
      <c r="E12" s="4">
        <v>0.59499999999999997</v>
      </c>
      <c r="F12" s="4">
        <v>0</v>
      </c>
      <c r="H12" s="33">
        <v>0.59499999999999997</v>
      </c>
      <c r="I12" s="12">
        <v>0</v>
      </c>
      <c r="K12" s="4">
        <v>0.63749999999999996</v>
      </c>
      <c r="L12" s="4">
        <v>0</v>
      </c>
    </row>
    <row r="13" spans="1:14" x14ac:dyDescent="0.2">
      <c r="E13" s="4">
        <v>0.66500000000000004</v>
      </c>
      <c r="F13" s="4">
        <v>0</v>
      </c>
      <c r="H13" s="33">
        <v>0.66500000000000004</v>
      </c>
      <c r="I13" s="12">
        <v>0</v>
      </c>
      <c r="K13" s="4">
        <v>0.71250000000000002</v>
      </c>
      <c r="L13" s="4">
        <v>0</v>
      </c>
    </row>
    <row r="14" spans="1:14" x14ac:dyDescent="0.2">
      <c r="E14" s="4">
        <v>0.73499999999999999</v>
      </c>
      <c r="F14" s="4">
        <v>0</v>
      </c>
      <c r="H14" s="33">
        <v>0.73499999999999999</v>
      </c>
      <c r="I14" s="12">
        <v>0</v>
      </c>
      <c r="K14" s="4">
        <v>0.78749999999999998</v>
      </c>
      <c r="L14" s="4">
        <v>0</v>
      </c>
    </row>
    <row r="15" spans="1:14" x14ac:dyDescent="0.2">
      <c r="E15" s="4">
        <v>0.80500000000000005</v>
      </c>
      <c r="F15" s="4">
        <v>0</v>
      </c>
      <c r="H15" s="33">
        <v>0.80500000000000005</v>
      </c>
      <c r="I15" s="12">
        <v>0</v>
      </c>
      <c r="K15" s="4">
        <v>0.86250000000000004</v>
      </c>
      <c r="L15" s="4">
        <v>0</v>
      </c>
    </row>
    <row r="16" spans="1:14" x14ac:dyDescent="0.2">
      <c r="E16" s="4">
        <v>0.875</v>
      </c>
      <c r="F16" s="4">
        <v>0</v>
      </c>
      <c r="H16" s="33">
        <v>0.875</v>
      </c>
      <c r="I16" s="12">
        <v>0</v>
      </c>
      <c r="K16" s="4">
        <v>0.9375</v>
      </c>
      <c r="L16" s="4">
        <v>0</v>
      </c>
    </row>
    <row r="17" spans="5:25" x14ac:dyDescent="0.2">
      <c r="E17" s="4">
        <v>0.94499999999999995</v>
      </c>
      <c r="F17" s="4">
        <v>0</v>
      </c>
      <c r="H17" s="33">
        <v>0.94499999999999995</v>
      </c>
      <c r="I17" s="12">
        <v>0</v>
      </c>
      <c r="K17" s="4">
        <v>1.0125</v>
      </c>
      <c r="L17" s="4">
        <v>63</v>
      </c>
    </row>
    <row r="18" spans="5:25" x14ac:dyDescent="0.2">
      <c r="E18" s="4">
        <v>1.0149999999999999</v>
      </c>
      <c r="F18" s="4">
        <v>115</v>
      </c>
      <c r="H18" s="33">
        <v>1.0149999999999999</v>
      </c>
      <c r="I18" s="12">
        <v>100</v>
      </c>
      <c r="K18" s="4">
        <v>1.0874999999999999</v>
      </c>
      <c r="L18" s="4">
        <v>0</v>
      </c>
    </row>
    <row r="19" spans="5:25" x14ac:dyDescent="0.2">
      <c r="E19" s="4">
        <v>1.085</v>
      </c>
      <c r="F19" s="4">
        <v>0</v>
      </c>
      <c r="H19" s="33">
        <v>1.085</v>
      </c>
      <c r="I19" s="12">
        <v>0</v>
      </c>
      <c r="K19" s="4">
        <v>1.1625000000000001</v>
      </c>
      <c r="L19" s="4">
        <v>0</v>
      </c>
    </row>
    <row r="20" spans="5:25" x14ac:dyDescent="0.2">
      <c r="E20" s="4">
        <v>1.155</v>
      </c>
      <c r="F20" s="4">
        <v>0</v>
      </c>
      <c r="H20" s="33">
        <v>1.155</v>
      </c>
      <c r="I20" s="12">
        <v>0</v>
      </c>
      <c r="K20" s="4">
        <v>1.2375</v>
      </c>
      <c r="L20" s="4">
        <v>0</v>
      </c>
    </row>
    <row r="21" spans="5:25" x14ac:dyDescent="0.2">
      <c r="E21" s="4">
        <v>1.2250000000000001</v>
      </c>
      <c r="F21" s="4">
        <v>0</v>
      </c>
      <c r="H21" s="33">
        <v>1.2250000000000001</v>
      </c>
      <c r="I21" s="12">
        <v>0</v>
      </c>
      <c r="K21" s="4">
        <v>1.3125</v>
      </c>
      <c r="L21" s="4">
        <v>0</v>
      </c>
    </row>
    <row r="22" spans="5:25" x14ac:dyDescent="0.2">
      <c r="E22" s="4">
        <v>1.2949999999999999</v>
      </c>
      <c r="F22" s="4">
        <v>0</v>
      </c>
      <c r="H22" s="33">
        <v>1.2949999999999999</v>
      </c>
      <c r="I22" s="12">
        <v>0</v>
      </c>
      <c r="K22" s="4">
        <v>1.3875</v>
      </c>
      <c r="L22" s="4">
        <v>0</v>
      </c>
    </row>
    <row r="23" spans="5:25" x14ac:dyDescent="0.2">
      <c r="E23" s="4">
        <v>1.365</v>
      </c>
      <c r="F23" s="4">
        <v>0</v>
      </c>
      <c r="H23" s="33">
        <v>1.365</v>
      </c>
      <c r="I23" s="12">
        <v>0</v>
      </c>
      <c r="K23" s="4">
        <v>1.4624999999999999</v>
      </c>
      <c r="L23" s="4">
        <v>0</v>
      </c>
    </row>
    <row r="24" spans="5:25" x14ac:dyDescent="0.2">
      <c r="E24" s="4">
        <v>1.4350000000000001</v>
      </c>
      <c r="F24" s="4">
        <v>0</v>
      </c>
      <c r="H24" s="33">
        <v>1.4350000000000001</v>
      </c>
      <c r="I24" s="12">
        <v>0</v>
      </c>
      <c r="K24" s="4">
        <v>1.5375000000000001</v>
      </c>
      <c r="L24" s="4">
        <v>0</v>
      </c>
    </row>
    <row r="25" spans="5:25" x14ac:dyDescent="0.2">
      <c r="E25" s="4">
        <v>1.5049999999999999</v>
      </c>
      <c r="F25" s="4">
        <v>0</v>
      </c>
      <c r="H25" s="33">
        <v>1.5049999999999999</v>
      </c>
      <c r="I25" s="12">
        <v>0</v>
      </c>
      <c r="K25" s="4">
        <v>1.6125</v>
      </c>
      <c r="L25" s="4">
        <v>0</v>
      </c>
      <c r="P25" s="107"/>
      <c r="Q25" s="107"/>
      <c r="R25" s="107"/>
      <c r="S25" s="107"/>
      <c r="T25" s="107"/>
      <c r="U25" s="107"/>
      <c r="V25" s="107"/>
      <c r="W25" s="107"/>
      <c r="X25" s="107"/>
      <c r="Y25" s="107"/>
    </row>
    <row r="26" spans="5:25" x14ac:dyDescent="0.2">
      <c r="E26" s="4">
        <v>1.575</v>
      </c>
      <c r="F26" s="4">
        <v>0</v>
      </c>
      <c r="H26" s="33">
        <v>1.575</v>
      </c>
      <c r="I26" s="12">
        <v>0</v>
      </c>
      <c r="K26" s="4">
        <v>1.6875</v>
      </c>
      <c r="L26" s="4">
        <v>0</v>
      </c>
    </row>
    <row r="27" spans="5:25" x14ac:dyDescent="0.2">
      <c r="E27" s="4">
        <v>1.645</v>
      </c>
      <c r="F27" s="4">
        <v>0</v>
      </c>
      <c r="H27" s="33">
        <v>1.645</v>
      </c>
      <c r="I27" s="12">
        <v>0</v>
      </c>
      <c r="K27" s="4">
        <v>1.7625</v>
      </c>
      <c r="L27" s="4">
        <v>0</v>
      </c>
    </row>
    <row r="28" spans="5:25" x14ac:dyDescent="0.2">
      <c r="E28" s="4">
        <v>1.7150000000000001</v>
      </c>
      <c r="F28" s="4">
        <v>0</v>
      </c>
      <c r="H28" s="33">
        <v>1.7150000000000001</v>
      </c>
      <c r="I28" s="12">
        <v>0</v>
      </c>
      <c r="K28" s="4">
        <v>1.8374999999999999</v>
      </c>
      <c r="L28" s="4">
        <v>0</v>
      </c>
    </row>
    <row r="29" spans="5:25" x14ac:dyDescent="0.2">
      <c r="E29" s="4">
        <v>1.7849999999999999</v>
      </c>
      <c r="F29" s="4">
        <v>0</v>
      </c>
      <c r="H29" s="33">
        <v>1.7849999999999999</v>
      </c>
      <c r="I29" s="12">
        <v>0</v>
      </c>
      <c r="K29" s="4">
        <v>1.9125000000000001</v>
      </c>
      <c r="L29" s="4">
        <v>0</v>
      </c>
    </row>
    <row r="30" spans="5:25" x14ac:dyDescent="0.2">
      <c r="E30" s="4">
        <v>1.855</v>
      </c>
      <c r="F30" s="4">
        <v>0</v>
      </c>
      <c r="H30" s="33">
        <v>1.855</v>
      </c>
      <c r="I30" s="12">
        <v>0</v>
      </c>
      <c r="K30" s="4">
        <v>1.9875</v>
      </c>
      <c r="L30" s="4">
        <v>145</v>
      </c>
    </row>
    <row r="31" spans="5:25" x14ac:dyDescent="0.2">
      <c r="E31" s="4">
        <v>1.925</v>
      </c>
      <c r="F31" s="4">
        <v>0</v>
      </c>
      <c r="H31" s="33">
        <v>1.925</v>
      </c>
      <c r="I31" s="12">
        <v>0</v>
      </c>
      <c r="K31" s="4">
        <v>2.0625</v>
      </c>
      <c r="L31" s="4">
        <v>0</v>
      </c>
    </row>
    <row r="32" spans="5:25" x14ac:dyDescent="0.2">
      <c r="E32" s="4">
        <v>1.9950000000000001</v>
      </c>
      <c r="F32" s="4">
        <v>219</v>
      </c>
      <c r="H32" s="33">
        <v>1.9950000000000001</v>
      </c>
      <c r="I32" s="12">
        <v>148</v>
      </c>
      <c r="K32" s="4">
        <v>2.1375000000000002</v>
      </c>
      <c r="L32" s="4">
        <v>0</v>
      </c>
    </row>
    <row r="33" spans="5:21" x14ac:dyDescent="0.2">
      <c r="E33" s="4">
        <v>2.0649999999999999</v>
      </c>
      <c r="F33" s="4">
        <v>0</v>
      </c>
      <c r="H33" s="33">
        <v>2.0649999999999999</v>
      </c>
      <c r="I33" s="12">
        <v>0</v>
      </c>
      <c r="K33" s="4">
        <v>2.2124999999999999</v>
      </c>
      <c r="L33" s="4">
        <v>0</v>
      </c>
    </row>
    <row r="34" spans="5:21" x14ac:dyDescent="0.2">
      <c r="E34" s="4">
        <v>2.1349999999999998</v>
      </c>
      <c r="F34" s="4">
        <v>0</v>
      </c>
      <c r="H34" s="33">
        <v>2.1349999999999998</v>
      </c>
      <c r="I34" s="12">
        <v>0</v>
      </c>
      <c r="K34" s="4">
        <v>2.2875000000000001</v>
      </c>
      <c r="L34" s="4">
        <v>0</v>
      </c>
    </row>
    <row r="35" spans="5:21" x14ac:dyDescent="0.2">
      <c r="E35" s="4">
        <v>2.2050000000000001</v>
      </c>
      <c r="F35" s="4">
        <v>0</v>
      </c>
      <c r="H35" s="33">
        <v>2.2050000000000001</v>
      </c>
      <c r="I35" s="12">
        <v>0</v>
      </c>
      <c r="K35" s="4">
        <v>2.3624999999999998</v>
      </c>
      <c r="L35" s="4">
        <v>0</v>
      </c>
    </row>
    <row r="36" spans="5:21" x14ac:dyDescent="0.2">
      <c r="E36" s="4">
        <v>2.2749999999999999</v>
      </c>
      <c r="F36" s="4">
        <v>0</v>
      </c>
      <c r="H36" s="33">
        <v>2.2749999999999999</v>
      </c>
      <c r="I36" s="12">
        <v>0</v>
      </c>
      <c r="K36" s="4">
        <v>2.4375</v>
      </c>
      <c r="L36" s="4">
        <v>0</v>
      </c>
    </row>
    <row r="37" spans="5:21" x14ac:dyDescent="0.2">
      <c r="E37" s="4">
        <v>2.3450000000000002</v>
      </c>
      <c r="F37" s="4">
        <v>0</v>
      </c>
      <c r="H37" s="33">
        <v>2.3450000000000002</v>
      </c>
      <c r="I37" s="12">
        <v>0</v>
      </c>
      <c r="K37" s="4">
        <v>2.5125000000000002</v>
      </c>
      <c r="L37" s="4">
        <v>0</v>
      </c>
    </row>
    <row r="38" spans="5:21" x14ac:dyDescent="0.2">
      <c r="E38" s="4">
        <v>2.415</v>
      </c>
      <c r="F38" s="4">
        <v>0</v>
      </c>
      <c r="H38" s="33">
        <v>2.415</v>
      </c>
      <c r="I38" s="12">
        <v>0</v>
      </c>
      <c r="K38" s="4">
        <v>2.5874999999999999</v>
      </c>
      <c r="L38" s="4">
        <v>0</v>
      </c>
    </row>
    <row r="39" spans="5:21" x14ac:dyDescent="0.2">
      <c r="E39" s="4">
        <v>2.4849999999999999</v>
      </c>
      <c r="F39" s="4">
        <v>0</v>
      </c>
      <c r="H39" s="33">
        <v>2.4849999999999999</v>
      </c>
      <c r="I39" s="12">
        <v>0</v>
      </c>
      <c r="K39" s="4">
        <v>2.6625000000000001</v>
      </c>
      <c r="L39" s="4">
        <v>0</v>
      </c>
    </row>
    <row r="40" spans="5:21" x14ac:dyDescent="0.2">
      <c r="E40" s="4">
        <v>2.5550000000000002</v>
      </c>
      <c r="F40" s="4">
        <v>0</v>
      </c>
      <c r="H40" s="33">
        <v>2.5550000000000002</v>
      </c>
      <c r="I40" s="12">
        <v>0</v>
      </c>
      <c r="K40" s="4">
        <v>2.7374999999999998</v>
      </c>
      <c r="L40" s="4">
        <v>0</v>
      </c>
    </row>
    <row r="41" spans="5:21" x14ac:dyDescent="0.2">
      <c r="E41" s="4">
        <v>2.625</v>
      </c>
      <c r="F41" s="4">
        <v>0</v>
      </c>
      <c r="H41" s="33">
        <v>2.625</v>
      </c>
      <c r="I41" s="12">
        <v>0</v>
      </c>
      <c r="K41" s="4">
        <v>2.8125</v>
      </c>
      <c r="L41" s="4">
        <v>0</v>
      </c>
    </row>
    <row r="42" spans="5:21" x14ac:dyDescent="0.2">
      <c r="E42" s="4">
        <v>2.6949999999999998</v>
      </c>
      <c r="F42" s="4">
        <v>0</v>
      </c>
      <c r="H42" s="33">
        <v>2.6949999999999998</v>
      </c>
      <c r="I42" s="12">
        <v>0</v>
      </c>
      <c r="K42" s="4">
        <v>2.8875000000000002</v>
      </c>
      <c r="L42" s="4">
        <v>0</v>
      </c>
    </row>
    <row r="43" spans="5:21" x14ac:dyDescent="0.2">
      <c r="E43" s="4">
        <v>2.7650000000000001</v>
      </c>
      <c r="F43" s="4">
        <v>0</v>
      </c>
      <c r="H43" s="33">
        <v>2.7650000000000001</v>
      </c>
      <c r="I43" s="12">
        <v>0</v>
      </c>
      <c r="K43" s="4">
        <v>2.9624999999999999</v>
      </c>
      <c r="L43" s="4">
        <v>0</v>
      </c>
    </row>
    <row r="44" spans="5:21" x14ac:dyDescent="0.2">
      <c r="E44" s="4">
        <v>2.835</v>
      </c>
      <c r="F44" s="4">
        <v>0</v>
      </c>
      <c r="H44" s="33">
        <v>2.835</v>
      </c>
      <c r="I44" s="12">
        <v>0</v>
      </c>
      <c r="K44" s="4">
        <v>3.0375000000000001</v>
      </c>
      <c r="L44" s="4">
        <v>157</v>
      </c>
      <c r="P44" s="106"/>
      <c r="Q44" s="106"/>
      <c r="R44" s="106"/>
      <c r="S44" s="106"/>
      <c r="T44" s="106"/>
      <c r="U44" s="106"/>
    </row>
    <row r="45" spans="5:21" x14ac:dyDescent="0.2">
      <c r="E45" s="4">
        <v>2.9049999999999998</v>
      </c>
      <c r="F45" s="4">
        <v>0</v>
      </c>
      <c r="H45" s="33">
        <v>2.9049999999999998</v>
      </c>
      <c r="I45" s="12">
        <v>0</v>
      </c>
      <c r="K45" s="4">
        <v>3.1124999999999998</v>
      </c>
      <c r="L45" s="4">
        <v>0</v>
      </c>
      <c r="P45" s="106"/>
      <c r="Q45" s="106"/>
      <c r="R45" s="106"/>
      <c r="S45" s="106"/>
      <c r="T45" s="106"/>
      <c r="U45" s="106"/>
    </row>
    <row r="46" spans="5:21" x14ac:dyDescent="0.2">
      <c r="E46" s="4">
        <v>2.9750000000000001</v>
      </c>
      <c r="F46" s="4">
        <v>251</v>
      </c>
      <c r="H46" s="33">
        <v>2.9750000000000001</v>
      </c>
      <c r="I46" s="12">
        <v>171</v>
      </c>
      <c r="K46" s="4">
        <v>3.1875</v>
      </c>
      <c r="L46" s="4">
        <v>0</v>
      </c>
      <c r="P46" s="106"/>
      <c r="Q46" s="106"/>
      <c r="R46" s="106"/>
      <c r="S46" s="106"/>
      <c r="T46" s="106"/>
      <c r="U46" s="106"/>
    </row>
    <row r="47" spans="5:21" x14ac:dyDescent="0.2">
      <c r="E47" s="4">
        <v>3.0449999999999999</v>
      </c>
      <c r="F47" s="4">
        <v>0</v>
      </c>
      <c r="H47" s="33">
        <v>3.0449999999999999</v>
      </c>
      <c r="I47" s="12">
        <v>0</v>
      </c>
      <c r="K47" s="4">
        <v>3.2625000000000002</v>
      </c>
      <c r="L47" s="4">
        <v>0</v>
      </c>
      <c r="P47" s="106"/>
      <c r="Q47" s="106"/>
      <c r="S47" s="106"/>
      <c r="T47" s="106"/>
      <c r="U47" s="106"/>
    </row>
    <row r="48" spans="5:21" x14ac:dyDescent="0.2">
      <c r="E48" s="4">
        <v>3.1150000000000002</v>
      </c>
      <c r="F48" s="4">
        <v>0</v>
      </c>
      <c r="H48" s="33">
        <v>3.1150000000000002</v>
      </c>
      <c r="I48" s="12">
        <v>0</v>
      </c>
      <c r="K48" s="4">
        <v>3.3374999999999999</v>
      </c>
      <c r="L48" s="4">
        <v>0</v>
      </c>
    </row>
    <row r="49" spans="5:21" ht="16" customHeight="1" x14ac:dyDescent="0.2">
      <c r="E49" s="4">
        <v>3.1850000000000001</v>
      </c>
      <c r="F49" s="4">
        <v>0</v>
      </c>
      <c r="H49" s="33">
        <v>3.1850000000000001</v>
      </c>
      <c r="I49" s="12">
        <v>0</v>
      </c>
      <c r="K49" s="4">
        <v>3.4125000000000001</v>
      </c>
      <c r="L49" s="4">
        <v>0</v>
      </c>
      <c r="P49" s="108" t="s">
        <v>213</v>
      </c>
      <c r="Q49" s="108"/>
      <c r="R49" s="108"/>
      <c r="S49" s="108"/>
      <c r="T49" s="108"/>
      <c r="U49" s="108"/>
    </row>
    <row r="50" spans="5:21" x14ac:dyDescent="0.2">
      <c r="E50" s="4">
        <v>3.2549999999999999</v>
      </c>
      <c r="F50" s="4">
        <v>0</v>
      </c>
      <c r="H50" s="33">
        <v>3.2549999999999999</v>
      </c>
      <c r="I50" s="12">
        <v>0</v>
      </c>
      <c r="K50" s="4">
        <v>3.4874999999999998</v>
      </c>
      <c r="L50" s="4">
        <v>0</v>
      </c>
      <c r="P50" s="108"/>
      <c r="Q50" s="108"/>
      <c r="R50" s="108"/>
      <c r="S50" s="108"/>
      <c r="T50" s="108"/>
      <c r="U50" s="108"/>
    </row>
    <row r="51" spans="5:21" x14ac:dyDescent="0.2">
      <c r="E51" s="4">
        <v>3.3250000000000002</v>
      </c>
      <c r="F51" s="4">
        <v>0</v>
      </c>
      <c r="H51" s="33">
        <v>3.3250000000000002</v>
      </c>
      <c r="I51" s="12">
        <v>0</v>
      </c>
      <c r="K51" s="4">
        <v>3.5625</v>
      </c>
      <c r="L51" s="4">
        <v>0</v>
      </c>
      <c r="P51" s="108"/>
      <c r="Q51" s="108"/>
      <c r="R51" s="108"/>
      <c r="S51" s="108"/>
      <c r="T51" s="108"/>
      <c r="U51" s="108"/>
    </row>
    <row r="52" spans="5:21" x14ac:dyDescent="0.2">
      <c r="E52" s="4">
        <v>3.395</v>
      </c>
      <c r="F52" s="4">
        <v>0</v>
      </c>
      <c r="H52" s="33">
        <v>3.395</v>
      </c>
      <c r="I52" s="12">
        <v>0</v>
      </c>
      <c r="K52" s="4">
        <v>3.6375000000000002</v>
      </c>
      <c r="L52" s="4">
        <v>0</v>
      </c>
      <c r="P52" s="109"/>
      <c r="Q52" s="109"/>
      <c r="R52" s="109"/>
      <c r="S52" s="109"/>
      <c r="T52" s="109"/>
      <c r="U52" s="109"/>
    </row>
    <row r="53" spans="5:21" x14ac:dyDescent="0.2">
      <c r="E53" s="4">
        <v>3.4649999999999999</v>
      </c>
      <c r="F53" s="4">
        <v>0</v>
      </c>
      <c r="H53" s="33">
        <v>3.4649999999999999</v>
      </c>
      <c r="I53" s="12">
        <v>0</v>
      </c>
      <c r="K53" s="4">
        <v>3.7124999999999999</v>
      </c>
      <c r="L53" s="4">
        <v>0</v>
      </c>
      <c r="P53" s="109"/>
      <c r="Q53" s="109"/>
      <c r="R53" s="109"/>
      <c r="S53" s="109"/>
      <c r="T53" s="109"/>
      <c r="U53" s="109"/>
    </row>
    <row r="54" spans="5:21" x14ac:dyDescent="0.2">
      <c r="E54" s="4">
        <v>3.5350000000000001</v>
      </c>
      <c r="F54" s="4">
        <v>0</v>
      </c>
      <c r="H54" s="33">
        <v>3.5350000000000001</v>
      </c>
      <c r="I54" s="12">
        <v>0</v>
      </c>
      <c r="K54" s="4">
        <v>3.7875000000000001</v>
      </c>
      <c r="L54" s="4">
        <v>0</v>
      </c>
      <c r="P54" s="106"/>
      <c r="Q54" s="106"/>
      <c r="R54" s="106"/>
      <c r="S54" s="106"/>
      <c r="T54" s="106"/>
      <c r="U54" s="106"/>
    </row>
    <row r="55" spans="5:21" x14ac:dyDescent="0.2">
      <c r="E55" s="4">
        <v>3.605</v>
      </c>
      <c r="F55" s="4">
        <v>0</v>
      </c>
      <c r="H55" s="33">
        <v>3.605</v>
      </c>
      <c r="I55" s="12">
        <v>0</v>
      </c>
      <c r="K55" s="4">
        <v>3.8624999999999998</v>
      </c>
      <c r="L55" s="4">
        <v>0</v>
      </c>
      <c r="P55" s="106"/>
      <c r="Q55" s="106"/>
      <c r="R55" s="106"/>
      <c r="S55" s="106"/>
      <c r="T55" s="106"/>
      <c r="U55" s="106"/>
    </row>
    <row r="56" spans="5:21" x14ac:dyDescent="0.2">
      <c r="E56" s="4">
        <v>3.6749999999999998</v>
      </c>
      <c r="F56" s="4">
        <v>0</v>
      </c>
      <c r="H56" s="33">
        <v>3.6749999999999998</v>
      </c>
      <c r="I56" s="12">
        <v>0</v>
      </c>
      <c r="K56" s="4">
        <v>3.9375</v>
      </c>
      <c r="L56" s="4">
        <v>0</v>
      </c>
    </row>
    <row r="57" spans="5:21" x14ac:dyDescent="0.2">
      <c r="E57" s="4">
        <v>3.7450000000000001</v>
      </c>
      <c r="F57" s="4">
        <v>0</v>
      </c>
      <c r="H57" s="33">
        <v>3.7450000000000001</v>
      </c>
      <c r="I57" s="12">
        <v>0</v>
      </c>
      <c r="K57" s="4">
        <v>4.0125000000000002</v>
      </c>
      <c r="L57" s="4">
        <v>231</v>
      </c>
    </row>
    <row r="58" spans="5:21" x14ac:dyDescent="0.2">
      <c r="E58" s="4">
        <v>3.8149999999999999</v>
      </c>
      <c r="F58" s="4">
        <v>0</v>
      </c>
      <c r="H58" s="33">
        <v>3.8149999999999999</v>
      </c>
      <c r="I58" s="12">
        <v>0</v>
      </c>
      <c r="K58" s="4">
        <v>4.0875000000000004</v>
      </c>
      <c r="L58" s="4">
        <v>0</v>
      </c>
    </row>
    <row r="59" spans="5:21" x14ac:dyDescent="0.2">
      <c r="E59" s="4">
        <v>3.8849999999999998</v>
      </c>
      <c r="F59" s="4">
        <v>0</v>
      </c>
      <c r="H59" s="33">
        <v>3.8849999999999998</v>
      </c>
      <c r="I59" s="12">
        <v>0</v>
      </c>
      <c r="K59" s="4">
        <v>4.1624999999999996</v>
      </c>
      <c r="L59" s="4">
        <v>0</v>
      </c>
    </row>
    <row r="60" spans="5:21" x14ac:dyDescent="0.2">
      <c r="E60" s="4">
        <v>3.9550000000000001</v>
      </c>
      <c r="F60" s="4">
        <v>0</v>
      </c>
      <c r="H60" s="33">
        <v>3.9550000000000001</v>
      </c>
      <c r="I60" s="12">
        <v>0</v>
      </c>
      <c r="K60" s="4">
        <v>4.2374999999999998</v>
      </c>
      <c r="L60" s="4">
        <v>0</v>
      </c>
    </row>
    <row r="61" spans="5:21" x14ac:dyDescent="0.2">
      <c r="E61" s="4">
        <v>4.0250000000000004</v>
      </c>
      <c r="F61" s="4">
        <v>374</v>
      </c>
      <c r="H61" s="33">
        <v>4.0250000000000004</v>
      </c>
      <c r="I61" s="12">
        <v>199</v>
      </c>
      <c r="K61" s="4">
        <v>4.3125</v>
      </c>
      <c r="L61" s="4">
        <v>0</v>
      </c>
    </row>
    <row r="62" spans="5:21" x14ac:dyDescent="0.2">
      <c r="E62" s="4">
        <v>4.0949999999999998</v>
      </c>
      <c r="F62" s="4">
        <v>0</v>
      </c>
      <c r="H62" s="33">
        <v>4.0949999999999998</v>
      </c>
      <c r="I62" s="12">
        <v>0</v>
      </c>
      <c r="K62" s="4">
        <v>4.3875000000000002</v>
      </c>
      <c r="L62" s="4">
        <v>0</v>
      </c>
    </row>
    <row r="63" spans="5:21" x14ac:dyDescent="0.2">
      <c r="E63" s="4">
        <v>4.165</v>
      </c>
      <c r="F63" s="4">
        <v>0</v>
      </c>
      <c r="H63" s="33">
        <v>4.165</v>
      </c>
      <c r="I63" s="12">
        <v>0</v>
      </c>
      <c r="K63" s="4">
        <v>4.4625000000000004</v>
      </c>
      <c r="L63" s="4">
        <v>0</v>
      </c>
    </row>
    <row r="64" spans="5:21" x14ac:dyDescent="0.2">
      <c r="E64" s="4">
        <v>4.2350000000000003</v>
      </c>
      <c r="F64" s="4">
        <v>0</v>
      </c>
      <c r="H64" s="33">
        <v>4.2350000000000003</v>
      </c>
      <c r="I64" s="12">
        <v>0</v>
      </c>
      <c r="K64" s="4">
        <v>4.5374999999999996</v>
      </c>
      <c r="L64" s="4">
        <v>0</v>
      </c>
    </row>
    <row r="65" spans="5:12" x14ac:dyDescent="0.2">
      <c r="E65" s="4">
        <v>4.3049999999999997</v>
      </c>
      <c r="F65" s="4">
        <v>0</v>
      </c>
      <c r="H65" s="33">
        <v>4.3049999999999997</v>
      </c>
      <c r="I65" s="12">
        <v>0</v>
      </c>
      <c r="K65" s="4">
        <v>4.6124999999999998</v>
      </c>
      <c r="L65" s="4">
        <v>0</v>
      </c>
    </row>
    <row r="66" spans="5:12" x14ac:dyDescent="0.2">
      <c r="E66" s="4">
        <v>4.375</v>
      </c>
      <c r="F66" s="4">
        <v>0</v>
      </c>
      <c r="H66" s="33">
        <v>4.375</v>
      </c>
      <c r="I66" s="12">
        <v>0</v>
      </c>
      <c r="K66" s="4">
        <v>4.6875</v>
      </c>
      <c r="L66" s="4">
        <v>0</v>
      </c>
    </row>
    <row r="67" spans="5:12" x14ac:dyDescent="0.2">
      <c r="E67" s="4">
        <v>4.4450000000000003</v>
      </c>
      <c r="F67" s="4">
        <v>0</v>
      </c>
      <c r="H67" s="33">
        <v>4.4450000000000003</v>
      </c>
      <c r="I67" s="12">
        <v>0</v>
      </c>
      <c r="K67" s="4">
        <v>4.7625000000000002</v>
      </c>
      <c r="L67" s="4">
        <v>0</v>
      </c>
    </row>
    <row r="68" spans="5:12" x14ac:dyDescent="0.2">
      <c r="E68" s="4">
        <v>4.5149999999999997</v>
      </c>
      <c r="F68" s="4">
        <v>0</v>
      </c>
      <c r="H68" s="33">
        <v>4.5149999999999997</v>
      </c>
      <c r="I68" s="12">
        <v>0</v>
      </c>
      <c r="K68" s="4">
        <v>4.8375000000000004</v>
      </c>
      <c r="L68" s="4">
        <v>0</v>
      </c>
    </row>
    <row r="69" spans="5:12" x14ac:dyDescent="0.2">
      <c r="E69" s="4">
        <v>4.585</v>
      </c>
      <c r="F69" s="4">
        <v>0</v>
      </c>
      <c r="H69" s="33">
        <v>4.585</v>
      </c>
      <c r="I69" s="12">
        <v>0</v>
      </c>
      <c r="K69" s="4">
        <v>4.9124999999999996</v>
      </c>
      <c r="L69" s="4">
        <v>0</v>
      </c>
    </row>
    <row r="70" spans="5:12" x14ac:dyDescent="0.2">
      <c r="E70" s="4">
        <v>4.6550000000000002</v>
      </c>
      <c r="F70" s="4">
        <v>0</v>
      </c>
      <c r="H70" s="33">
        <v>4.6550000000000002</v>
      </c>
      <c r="I70" s="12">
        <v>0</v>
      </c>
      <c r="K70" s="4">
        <v>4.9874999999999998</v>
      </c>
      <c r="L70" s="4">
        <v>360</v>
      </c>
    </row>
    <row r="71" spans="5:12" x14ac:dyDescent="0.2">
      <c r="E71" s="4">
        <v>4.7249999999999996</v>
      </c>
      <c r="F71" s="4">
        <v>0</v>
      </c>
      <c r="H71" s="33">
        <v>4.7249999999999996</v>
      </c>
      <c r="I71" s="12">
        <v>0</v>
      </c>
      <c r="K71" s="4">
        <v>5.0625</v>
      </c>
      <c r="L71" s="4">
        <v>0</v>
      </c>
    </row>
    <row r="72" spans="5:12" x14ac:dyDescent="0.2">
      <c r="E72" s="4">
        <v>4.7949999999999999</v>
      </c>
      <c r="F72" s="4">
        <v>0</v>
      </c>
      <c r="H72" s="33">
        <v>4.7949999999999999</v>
      </c>
      <c r="I72" s="12">
        <v>0</v>
      </c>
      <c r="K72" s="4">
        <v>5.1375000000000002</v>
      </c>
      <c r="L72" s="4">
        <v>0</v>
      </c>
    </row>
    <row r="73" spans="5:12" x14ac:dyDescent="0.2">
      <c r="E73" s="4">
        <v>4.8650000000000002</v>
      </c>
      <c r="F73" s="4">
        <v>0</v>
      </c>
      <c r="H73" s="33">
        <v>4.8650000000000002</v>
      </c>
      <c r="I73" s="12">
        <v>0</v>
      </c>
      <c r="K73" s="4">
        <v>5.2125000000000004</v>
      </c>
      <c r="L73" s="4">
        <v>0</v>
      </c>
    </row>
    <row r="74" spans="5:12" x14ac:dyDescent="0.2">
      <c r="E74" s="4">
        <v>4.9349999999999996</v>
      </c>
      <c r="F74" s="4">
        <v>0</v>
      </c>
      <c r="H74" s="33">
        <v>4.9349999999999996</v>
      </c>
      <c r="I74" s="12">
        <v>0</v>
      </c>
      <c r="K74" s="4">
        <v>5.2874999999999996</v>
      </c>
      <c r="L74" s="4">
        <v>0</v>
      </c>
    </row>
    <row r="75" spans="5:12" x14ac:dyDescent="0.2">
      <c r="E75" s="4">
        <v>5.0049999999999999</v>
      </c>
      <c r="F75" s="4">
        <v>522</v>
      </c>
      <c r="H75" s="33">
        <v>5.0049999999999999</v>
      </c>
      <c r="I75" s="12">
        <v>439</v>
      </c>
      <c r="K75" s="4">
        <v>5.3624999999999998</v>
      </c>
      <c r="L75" s="4">
        <v>0</v>
      </c>
    </row>
    <row r="76" spans="5:12" x14ac:dyDescent="0.2">
      <c r="E76" s="4">
        <v>5.0750000000000002</v>
      </c>
      <c r="F76" s="4">
        <v>0</v>
      </c>
      <c r="H76" s="33">
        <v>5.0750000000000002</v>
      </c>
      <c r="I76" s="12">
        <v>0</v>
      </c>
      <c r="K76" s="4">
        <v>5.4375</v>
      </c>
      <c r="L76" s="4">
        <v>0</v>
      </c>
    </row>
    <row r="77" spans="5:12" x14ac:dyDescent="0.2">
      <c r="E77" s="4">
        <v>5.1449999999999996</v>
      </c>
      <c r="F77" s="4">
        <v>0</v>
      </c>
      <c r="H77" s="33">
        <v>5.1449999999999996</v>
      </c>
      <c r="I77" s="12">
        <v>0</v>
      </c>
      <c r="K77" s="4">
        <v>5.5125000000000002</v>
      </c>
      <c r="L77" s="4">
        <v>0</v>
      </c>
    </row>
    <row r="78" spans="5:12" x14ac:dyDescent="0.2">
      <c r="E78" s="4">
        <v>5.2149999999999999</v>
      </c>
      <c r="F78" s="4">
        <v>0</v>
      </c>
      <c r="H78" s="33">
        <v>5.2149999999999999</v>
      </c>
      <c r="I78" s="12">
        <v>0</v>
      </c>
      <c r="K78" s="4">
        <v>5.5875000000000004</v>
      </c>
      <c r="L78" s="4">
        <v>0</v>
      </c>
    </row>
    <row r="79" spans="5:12" x14ac:dyDescent="0.2">
      <c r="E79" s="4">
        <v>5.2850000000000001</v>
      </c>
      <c r="F79" s="4">
        <v>0</v>
      </c>
      <c r="H79" s="33">
        <v>5.2850000000000001</v>
      </c>
      <c r="I79" s="12">
        <v>0</v>
      </c>
      <c r="K79" s="4">
        <v>5.6624999999999996</v>
      </c>
      <c r="L79" s="4">
        <v>0</v>
      </c>
    </row>
    <row r="80" spans="5:12" x14ac:dyDescent="0.2">
      <c r="E80" s="4">
        <v>5.3550000000000004</v>
      </c>
      <c r="F80" s="4">
        <v>0</v>
      </c>
      <c r="H80" s="33">
        <v>5.3550000000000004</v>
      </c>
      <c r="I80" s="12">
        <v>0</v>
      </c>
      <c r="K80" s="4">
        <v>5.7374999999999998</v>
      </c>
      <c r="L80" s="4">
        <v>0</v>
      </c>
    </row>
    <row r="81" spans="5:12" x14ac:dyDescent="0.2">
      <c r="E81" s="4">
        <v>5.4249999999999998</v>
      </c>
      <c r="F81" s="4">
        <v>0</v>
      </c>
      <c r="H81" s="33">
        <v>5.4249999999999998</v>
      </c>
      <c r="I81" s="12">
        <v>0</v>
      </c>
      <c r="K81" s="4">
        <v>5.8125</v>
      </c>
      <c r="L81" s="4">
        <v>0</v>
      </c>
    </row>
    <row r="82" spans="5:12" x14ac:dyDescent="0.2">
      <c r="E82" s="4">
        <v>5.4950000000000001</v>
      </c>
      <c r="F82" s="4">
        <v>0</v>
      </c>
      <c r="H82" s="33">
        <v>5.4950000000000001</v>
      </c>
      <c r="I82" s="12">
        <v>0</v>
      </c>
      <c r="K82" s="4">
        <v>5.8875000000000002</v>
      </c>
      <c r="L82" s="4">
        <v>0</v>
      </c>
    </row>
    <row r="83" spans="5:12" x14ac:dyDescent="0.2">
      <c r="E83" s="4">
        <v>5.5650000000000004</v>
      </c>
      <c r="F83" s="4">
        <v>0</v>
      </c>
      <c r="H83" s="33">
        <v>5.5650000000000004</v>
      </c>
      <c r="I83" s="12">
        <v>0</v>
      </c>
      <c r="K83" s="4">
        <v>5.9625000000000004</v>
      </c>
      <c r="L83" s="4">
        <v>0</v>
      </c>
    </row>
    <row r="84" spans="5:12" x14ac:dyDescent="0.2">
      <c r="E84" s="4">
        <v>5.6349999999999998</v>
      </c>
      <c r="F84" s="4">
        <v>0</v>
      </c>
      <c r="H84" s="33">
        <v>5.6349999999999998</v>
      </c>
      <c r="I84" s="12">
        <v>0</v>
      </c>
      <c r="K84" s="4">
        <v>6.0374999999999996</v>
      </c>
      <c r="L84" s="4">
        <v>671</v>
      </c>
    </row>
    <row r="85" spans="5:12" x14ac:dyDescent="0.2">
      <c r="E85" s="4">
        <v>5.7050000000000001</v>
      </c>
      <c r="F85" s="4">
        <v>0</v>
      </c>
      <c r="H85" s="33">
        <v>5.7050000000000001</v>
      </c>
      <c r="I85" s="12">
        <v>0</v>
      </c>
      <c r="K85" s="4">
        <v>6.1124999999999998</v>
      </c>
      <c r="L85" s="4">
        <v>0</v>
      </c>
    </row>
    <row r="86" spans="5:12" x14ac:dyDescent="0.2">
      <c r="E86" s="4">
        <v>5.7750000000000004</v>
      </c>
      <c r="F86" s="4">
        <v>0</v>
      </c>
      <c r="H86" s="33">
        <v>5.7750000000000004</v>
      </c>
      <c r="I86" s="12">
        <v>0</v>
      </c>
      <c r="K86" s="4">
        <v>6.1875</v>
      </c>
      <c r="L86" s="4">
        <v>0</v>
      </c>
    </row>
    <row r="87" spans="5:12" x14ac:dyDescent="0.2">
      <c r="E87" s="4">
        <v>5.8449999999999998</v>
      </c>
      <c r="F87" s="4">
        <v>0</v>
      </c>
      <c r="H87" s="33">
        <v>5.8449999999999998</v>
      </c>
      <c r="I87" s="12">
        <v>0</v>
      </c>
      <c r="K87" s="4">
        <v>6.2625000000000002</v>
      </c>
      <c r="L87" s="4">
        <v>0</v>
      </c>
    </row>
    <row r="88" spans="5:12" x14ac:dyDescent="0.2">
      <c r="E88" s="4">
        <v>5.915</v>
      </c>
      <c r="F88" s="4">
        <v>0</v>
      </c>
      <c r="H88" s="33">
        <v>5.915</v>
      </c>
      <c r="I88" s="12">
        <v>0</v>
      </c>
      <c r="K88" s="4">
        <v>6.3375000000000004</v>
      </c>
      <c r="L88" s="4">
        <v>0</v>
      </c>
    </row>
    <row r="89" spans="5:12" x14ac:dyDescent="0.2">
      <c r="E89" s="4">
        <v>5.9850000000000003</v>
      </c>
      <c r="F89" s="4">
        <v>671</v>
      </c>
      <c r="H89" s="33">
        <v>5.9850000000000003</v>
      </c>
      <c r="I89" s="12">
        <v>762</v>
      </c>
      <c r="K89" s="4">
        <v>6.4124999999999996</v>
      </c>
      <c r="L89" s="4">
        <v>0</v>
      </c>
    </row>
    <row r="90" spans="5:12" x14ac:dyDescent="0.2">
      <c r="E90" s="4">
        <v>6.0549999999999997</v>
      </c>
      <c r="F90" s="4">
        <v>0</v>
      </c>
      <c r="H90" s="33">
        <v>6.0549999999999997</v>
      </c>
      <c r="I90" s="12">
        <v>0</v>
      </c>
      <c r="K90" s="4">
        <v>6.4874999999999998</v>
      </c>
      <c r="L90" s="4">
        <v>0</v>
      </c>
    </row>
    <row r="91" spans="5:12" x14ac:dyDescent="0.2">
      <c r="E91" s="4">
        <v>6.125</v>
      </c>
      <c r="F91" s="4">
        <v>0</v>
      </c>
      <c r="H91" s="33">
        <v>6.125</v>
      </c>
      <c r="I91" s="12">
        <v>0</v>
      </c>
      <c r="K91" s="4">
        <v>6.5625</v>
      </c>
      <c r="L91" s="4">
        <v>0</v>
      </c>
    </row>
    <row r="92" spans="5:12" x14ac:dyDescent="0.2">
      <c r="E92" s="4">
        <v>6.1950000000000003</v>
      </c>
      <c r="F92" s="4">
        <v>0</v>
      </c>
      <c r="H92" s="33">
        <v>6.1950000000000003</v>
      </c>
      <c r="I92" s="12">
        <v>0</v>
      </c>
      <c r="K92" s="4">
        <v>6.6375000000000002</v>
      </c>
      <c r="L92" s="4">
        <v>0</v>
      </c>
    </row>
    <row r="93" spans="5:12" x14ac:dyDescent="0.2">
      <c r="E93" s="4">
        <v>6.2649999999999997</v>
      </c>
      <c r="F93" s="4">
        <v>0</v>
      </c>
      <c r="H93" s="33">
        <v>6.2649999999999997</v>
      </c>
      <c r="I93" s="12">
        <v>0</v>
      </c>
      <c r="K93" s="4">
        <v>6.7125000000000004</v>
      </c>
      <c r="L93" s="4">
        <v>0</v>
      </c>
    </row>
    <row r="94" spans="5:12" x14ac:dyDescent="0.2">
      <c r="E94" s="4">
        <v>6.335</v>
      </c>
      <c r="F94" s="4">
        <v>0</v>
      </c>
      <c r="H94" s="33">
        <v>6.335</v>
      </c>
      <c r="I94" s="12">
        <v>0</v>
      </c>
      <c r="K94" s="4">
        <v>6.7874999999999996</v>
      </c>
      <c r="L94" s="4">
        <v>0</v>
      </c>
    </row>
    <row r="95" spans="5:12" x14ac:dyDescent="0.2">
      <c r="E95" s="4">
        <v>6.4050000000000002</v>
      </c>
      <c r="F95" s="4">
        <v>0</v>
      </c>
      <c r="H95" s="33">
        <v>6.4050000000000002</v>
      </c>
      <c r="I95" s="12">
        <v>0</v>
      </c>
      <c r="K95" s="4">
        <v>6.8624999999999998</v>
      </c>
      <c r="L95" s="4">
        <v>0</v>
      </c>
    </row>
    <row r="96" spans="5:12" x14ac:dyDescent="0.2">
      <c r="E96" s="4">
        <v>6.4749999999999996</v>
      </c>
      <c r="F96" s="4">
        <v>0</v>
      </c>
      <c r="H96" s="33">
        <v>6.4749999999999996</v>
      </c>
      <c r="I96" s="12">
        <v>0</v>
      </c>
      <c r="K96" s="4">
        <v>6.9375</v>
      </c>
      <c r="L96" s="4">
        <v>0</v>
      </c>
    </row>
    <row r="97" spans="5:12" x14ac:dyDescent="0.2">
      <c r="E97" s="4">
        <v>6.5449999999999999</v>
      </c>
      <c r="F97" s="4">
        <v>0</v>
      </c>
      <c r="H97" s="33">
        <v>6.5449999999999999</v>
      </c>
      <c r="I97" s="12">
        <v>0</v>
      </c>
      <c r="K97" s="4">
        <v>7.0125000000000002</v>
      </c>
      <c r="L97" s="4">
        <v>795</v>
      </c>
    </row>
    <row r="98" spans="5:12" x14ac:dyDescent="0.2">
      <c r="E98" s="4">
        <v>6.6150000000000002</v>
      </c>
      <c r="F98" s="4">
        <v>0</v>
      </c>
      <c r="H98" s="33">
        <v>6.6150000000000002</v>
      </c>
      <c r="I98" s="12">
        <v>0</v>
      </c>
      <c r="K98" s="4">
        <v>7.0875000000000004</v>
      </c>
      <c r="L98" s="4">
        <v>0</v>
      </c>
    </row>
    <row r="99" spans="5:12" x14ac:dyDescent="0.2">
      <c r="E99" s="4">
        <v>6.6849999999999996</v>
      </c>
      <c r="F99" s="4">
        <v>0</v>
      </c>
      <c r="H99" s="33">
        <v>6.6849999999999996</v>
      </c>
      <c r="I99" s="12">
        <v>0</v>
      </c>
      <c r="K99" s="4">
        <v>7.1624999999999996</v>
      </c>
      <c r="L99" s="4">
        <v>0</v>
      </c>
    </row>
    <row r="100" spans="5:12" x14ac:dyDescent="0.2">
      <c r="E100" s="4">
        <v>6.7549999999999999</v>
      </c>
      <c r="F100" s="4">
        <v>0</v>
      </c>
      <c r="H100" s="33">
        <v>6.7549999999999999</v>
      </c>
      <c r="I100" s="12">
        <v>0</v>
      </c>
      <c r="K100" s="4">
        <v>7.2374999999999998</v>
      </c>
      <c r="L100" s="4">
        <v>0</v>
      </c>
    </row>
    <row r="101" spans="5:12" x14ac:dyDescent="0.2">
      <c r="E101" s="4">
        <v>6.8250000000000002</v>
      </c>
      <c r="F101" s="4">
        <v>0</v>
      </c>
      <c r="H101" s="33">
        <v>6.8250000000000002</v>
      </c>
      <c r="I101" s="12">
        <v>0</v>
      </c>
      <c r="K101" s="4">
        <v>7.3125</v>
      </c>
      <c r="L101" s="4">
        <v>0</v>
      </c>
    </row>
    <row r="102" spans="5:12" x14ac:dyDescent="0.2">
      <c r="E102" s="4">
        <v>6.8949999999999996</v>
      </c>
      <c r="F102" s="4">
        <v>0</v>
      </c>
      <c r="H102" s="33">
        <v>6.8949999999999996</v>
      </c>
      <c r="I102" s="12">
        <v>0</v>
      </c>
      <c r="K102" s="4">
        <v>7.3875000000000002</v>
      </c>
      <c r="L102" s="4">
        <v>0</v>
      </c>
    </row>
    <row r="103" spans="5:12" x14ac:dyDescent="0.2">
      <c r="E103" s="4">
        <v>6.9649999999999999</v>
      </c>
      <c r="F103" s="4">
        <v>757</v>
      </c>
      <c r="H103" s="33">
        <v>6.9649999999999999</v>
      </c>
      <c r="I103" s="12">
        <v>800</v>
      </c>
      <c r="K103" s="4">
        <v>7.4625000000000004</v>
      </c>
      <c r="L103" s="4">
        <v>0</v>
      </c>
    </row>
    <row r="104" spans="5:12" x14ac:dyDescent="0.2">
      <c r="E104" s="4">
        <v>7.0350000000000001</v>
      </c>
      <c r="F104" s="4">
        <v>0</v>
      </c>
      <c r="H104" s="33">
        <v>7.0350000000000001</v>
      </c>
      <c r="I104" s="12">
        <v>0</v>
      </c>
      <c r="K104" s="4">
        <v>7.5374999999999996</v>
      </c>
      <c r="L104" s="4">
        <v>0</v>
      </c>
    </row>
    <row r="105" spans="5:12" x14ac:dyDescent="0.2">
      <c r="E105" s="4">
        <v>7.1050000000000004</v>
      </c>
      <c r="F105" s="4">
        <v>0</v>
      </c>
      <c r="H105" s="33">
        <v>7.1050000000000004</v>
      </c>
      <c r="I105" s="12">
        <v>0</v>
      </c>
      <c r="K105" s="4">
        <v>7.6124999999999998</v>
      </c>
      <c r="L105" s="4">
        <v>0</v>
      </c>
    </row>
    <row r="106" spans="5:12" x14ac:dyDescent="0.2">
      <c r="E106" s="4">
        <v>7.1749999999999998</v>
      </c>
      <c r="F106" s="4">
        <v>0</v>
      </c>
      <c r="H106" s="33">
        <v>7.1749999999999998</v>
      </c>
      <c r="I106" s="12">
        <v>0</v>
      </c>
      <c r="K106" s="4">
        <v>7.6875</v>
      </c>
      <c r="L106" s="4">
        <v>0</v>
      </c>
    </row>
    <row r="107" spans="5:12" x14ac:dyDescent="0.2">
      <c r="E107" s="4">
        <v>7.2450000000000001</v>
      </c>
      <c r="F107" s="4">
        <v>0</v>
      </c>
      <c r="H107" s="33">
        <v>7.2450000000000001</v>
      </c>
      <c r="I107" s="12">
        <v>0</v>
      </c>
      <c r="K107" s="4">
        <v>7.7625000000000002</v>
      </c>
      <c r="L107" s="4">
        <v>0</v>
      </c>
    </row>
    <row r="108" spans="5:12" x14ac:dyDescent="0.2">
      <c r="E108" s="4">
        <v>7.3150000000000004</v>
      </c>
      <c r="F108" s="4">
        <v>0</v>
      </c>
      <c r="H108" s="33">
        <v>7.3150000000000004</v>
      </c>
      <c r="I108" s="12">
        <v>0</v>
      </c>
      <c r="K108" s="4">
        <v>7.8375000000000004</v>
      </c>
      <c r="L108" s="4">
        <v>0</v>
      </c>
    </row>
    <row r="109" spans="5:12" x14ac:dyDescent="0.2">
      <c r="E109" s="4">
        <v>7.3849999999999998</v>
      </c>
      <c r="F109" s="4">
        <v>0</v>
      </c>
      <c r="H109" s="33">
        <v>7.3849999999999998</v>
      </c>
      <c r="I109" s="12">
        <v>0</v>
      </c>
      <c r="K109" s="4">
        <v>7.9124999999999996</v>
      </c>
      <c r="L109" s="4">
        <v>0</v>
      </c>
    </row>
    <row r="110" spans="5:12" x14ac:dyDescent="0.2">
      <c r="E110" s="4">
        <v>7.4550000000000001</v>
      </c>
      <c r="F110" s="4">
        <v>0</v>
      </c>
      <c r="H110" s="33">
        <v>7.4550000000000001</v>
      </c>
      <c r="I110" s="12">
        <v>0</v>
      </c>
      <c r="K110" s="4">
        <v>7.9874999999999998</v>
      </c>
      <c r="L110" s="4">
        <v>726</v>
      </c>
    </row>
    <row r="111" spans="5:12" x14ac:dyDescent="0.2">
      <c r="E111" s="4">
        <v>7.5250000000000004</v>
      </c>
      <c r="F111" s="4">
        <v>0</v>
      </c>
      <c r="H111" s="33">
        <v>7.5250000000000004</v>
      </c>
      <c r="I111" s="12">
        <v>0</v>
      </c>
      <c r="K111" s="4">
        <v>8.0625</v>
      </c>
      <c r="L111" s="4">
        <v>0</v>
      </c>
    </row>
    <row r="112" spans="5:12" x14ac:dyDescent="0.2">
      <c r="E112" s="4">
        <v>7.5949999999999998</v>
      </c>
      <c r="F112" s="4">
        <v>0</v>
      </c>
      <c r="H112" s="33">
        <v>7.5949999999999998</v>
      </c>
      <c r="I112" s="12">
        <v>0</v>
      </c>
      <c r="K112" s="4">
        <v>8.1374999999999993</v>
      </c>
      <c r="L112" s="4">
        <v>0</v>
      </c>
    </row>
    <row r="113" spans="5:12" x14ac:dyDescent="0.2">
      <c r="E113" s="4">
        <v>7.665</v>
      </c>
      <c r="F113" s="4">
        <v>0</v>
      </c>
      <c r="H113" s="33">
        <v>7.665</v>
      </c>
      <c r="I113" s="12">
        <v>0</v>
      </c>
      <c r="K113" s="4">
        <v>8.2125000000000004</v>
      </c>
      <c r="L113" s="4">
        <v>0</v>
      </c>
    </row>
    <row r="114" spans="5:12" x14ac:dyDescent="0.2">
      <c r="E114" s="4">
        <v>7.7350000000000003</v>
      </c>
      <c r="F114" s="4">
        <v>0</v>
      </c>
      <c r="H114" s="33">
        <v>7.7350000000000003</v>
      </c>
      <c r="I114" s="12">
        <v>0</v>
      </c>
      <c r="K114" s="4">
        <v>8.2874999999999996</v>
      </c>
      <c r="L114" s="4">
        <v>0</v>
      </c>
    </row>
    <row r="115" spans="5:12" x14ac:dyDescent="0.2">
      <c r="E115" s="4">
        <v>7.8049999999999997</v>
      </c>
      <c r="F115" s="4">
        <v>0</v>
      </c>
      <c r="H115" s="33">
        <v>7.8049999999999997</v>
      </c>
      <c r="I115" s="12">
        <v>0</v>
      </c>
      <c r="K115" s="4">
        <v>8.3625000000000007</v>
      </c>
      <c r="L115" s="4">
        <v>0</v>
      </c>
    </row>
    <row r="116" spans="5:12" x14ac:dyDescent="0.2">
      <c r="E116" s="4">
        <v>7.875</v>
      </c>
      <c r="F116" s="4">
        <v>0</v>
      </c>
      <c r="H116" s="33">
        <v>7.875</v>
      </c>
      <c r="I116" s="12">
        <v>0</v>
      </c>
      <c r="K116" s="4">
        <v>8.4375</v>
      </c>
      <c r="L116" s="4">
        <v>0</v>
      </c>
    </row>
    <row r="117" spans="5:12" x14ac:dyDescent="0.2">
      <c r="E117" s="4">
        <v>7.9450000000000003</v>
      </c>
      <c r="F117" s="4">
        <v>0</v>
      </c>
      <c r="H117" s="33">
        <v>7.9450000000000003</v>
      </c>
      <c r="I117" s="12">
        <v>0</v>
      </c>
      <c r="K117" s="4">
        <v>8.5124999999999993</v>
      </c>
      <c r="L117" s="4">
        <v>0</v>
      </c>
    </row>
    <row r="118" spans="5:12" x14ac:dyDescent="0.2">
      <c r="E118" s="4">
        <v>8.0150000000000006</v>
      </c>
      <c r="F118" s="4">
        <v>793</v>
      </c>
      <c r="H118" s="33">
        <v>8.0150000000000006</v>
      </c>
      <c r="I118" s="12">
        <v>704</v>
      </c>
      <c r="K118" s="4">
        <v>8.5875000000000004</v>
      </c>
      <c r="L118" s="4">
        <v>0</v>
      </c>
    </row>
    <row r="119" spans="5:12" x14ac:dyDescent="0.2">
      <c r="E119" s="4">
        <v>8.0850000000000009</v>
      </c>
      <c r="F119" s="4">
        <v>0</v>
      </c>
      <c r="H119" s="33">
        <v>8.0850000000000009</v>
      </c>
      <c r="I119" s="12">
        <v>0</v>
      </c>
      <c r="K119" s="4">
        <v>8.6624999999999996</v>
      </c>
      <c r="L119" s="4">
        <v>0</v>
      </c>
    </row>
    <row r="120" spans="5:12" x14ac:dyDescent="0.2">
      <c r="E120" s="4">
        <v>8.1549999999999994</v>
      </c>
      <c r="F120" s="4">
        <v>0</v>
      </c>
      <c r="H120" s="33">
        <v>8.1549999999999994</v>
      </c>
      <c r="I120" s="12">
        <v>0</v>
      </c>
      <c r="K120" s="4">
        <v>8.7375000000000007</v>
      </c>
      <c r="L120" s="4">
        <v>0</v>
      </c>
    </row>
    <row r="121" spans="5:12" x14ac:dyDescent="0.2">
      <c r="E121" s="4">
        <v>8.2249999999999996</v>
      </c>
      <c r="F121" s="4">
        <v>0</v>
      </c>
      <c r="H121" s="33">
        <v>8.2249999999999996</v>
      </c>
      <c r="I121" s="12">
        <v>0</v>
      </c>
      <c r="K121" s="4">
        <v>8.8125</v>
      </c>
      <c r="L121" s="4">
        <v>0</v>
      </c>
    </row>
    <row r="122" spans="5:12" x14ac:dyDescent="0.2">
      <c r="E122" s="4">
        <v>8.2949999999999999</v>
      </c>
      <c r="F122" s="4">
        <v>0</v>
      </c>
      <c r="H122" s="33">
        <v>8.2949999999999999</v>
      </c>
      <c r="I122" s="12">
        <v>0</v>
      </c>
      <c r="K122" s="4">
        <v>8.8874999999999993</v>
      </c>
      <c r="L122" s="4">
        <v>0</v>
      </c>
    </row>
    <row r="123" spans="5:12" x14ac:dyDescent="0.2">
      <c r="E123" s="4">
        <v>8.3650000000000002</v>
      </c>
      <c r="F123" s="4">
        <v>0</v>
      </c>
      <c r="H123" s="33">
        <v>8.3650000000000002</v>
      </c>
      <c r="I123" s="12">
        <v>0</v>
      </c>
      <c r="K123" s="4">
        <v>8.9625000000000004</v>
      </c>
      <c r="L123" s="4">
        <v>0</v>
      </c>
    </row>
    <row r="124" spans="5:12" x14ac:dyDescent="0.2">
      <c r="E124" s="4">
        <v>8.4350000000000005</v>
      </c>
      <c r="F124" s="4">
        <v>0</v>
      </c>
      <c r="H124" s="33">
        <v>8.4350000000000005</v>
      </c>
      <c r="I124" s="12">
        <v>0</v>
      </c>
      <c r="K124" s="4">
        <v>9.0374999999999996</v>
      </c>
      <c r="L124" s="4">
        <v>882</v>
      </c>
    </row>
    <row r="125" spans="5:12" x14ac:dyDescent="0.2">
      <c r="E125" s="4">
        <v>8.5050000000000008</v>
      </c>
      <c r="F125" s="4">
        <v>0</v>
      </c>
      <c r="H125" s="33">
        <v>8.5050000000000008</v>
      </c>
      <c r="I125" s="12">
        <v>0</v>
      </c>
      <c r="K125" s="4">
        <v>9.1125000000000007</v>
      </c>
      <c r="L125" s="4">
        <v>0</v>
      </c>
    </row>
    <row r="126" spans="5:12" x14ac:dyDescent="0.2">
      <c r="E126" s="4">
        <v>8.5749999999999993</v>
      </c>
      <c r="F126" s="4">
        <v>0</v>
      </c>
      <c r="H126" s="33">
        <v>8.5749999999999993</v>
      </c>
      <c r="I126" s="12">
        <v>0</v>
      </c>
      <c r="K126" s="4">
        <v>9.1875</v>
      </c>
      <c r="L126" s="4">
        <v>0</v>
      </c>
    </row>
    <row r="127" spans="5:12" x14ac:dyDescent="0.2">
      <c r="E127" s="4">
        <v>8.6449999999999996</v>
      </c>
      <c r="F127" s="4">
        <v>0</v>
      </c>
      <c r="H127" s="33">
        <v>8.6449999999999996</v>
      </c>
      <c r="I127" s="12">
        <v>0</v>
      </c>
      <c r="K127" s="4">
        <v>9.2624999999999993</v>
      </c>
      <c r="L127" s="4">
        <v>0</v>
      </c>
    </row>
    <row r="128" spans="5:12" x14ac:dyDescent="0.2">
      <c r="E128" s="4">
        <v>8.7149999999999999</v>
      </c>
      <c r="F128" s="4">
        <v>0</v>
      </c>
      <c r="H128" s="33">
        <v>8.7149999999999999</v>
      </c>
      <c r="I128" s="12">
        <v>0</v>
      </c>
      <c r="K128" s="4">
        <v>9.3375000000000004</v>
      </c>
      <c r="L128" s="4">
        <v>0</v>
      </c>
    </row>
    <row r="129" spans="5:12" x14ac:dyDescent="0.2">
      <c r="E129" s="4">
        <v>8.7850000000000001</v>
      </c>
      <c r="F129" s="4">
        <v>0</v>
      </c>
      <c r="H129" s="33">
        <v>8.7850000000000001</v>
      </c>
      <c r="I129" s="12">
        <v>0</v>
      </c>
      <c r="K129" s="4">
        <v>9.4124999999999996</v>
      </c>
      <c r="L129" s="4">
        <v>0</v>
      </c>
    </row>
    <row r="130" spans="5:12" x14ac:dyDescent="0.2">
      <c r="E130" s="4">
        <v>8.8550000000000004</v>
      </c>
      <c r="F130" s="4">
        <v>0</v>
      </c>
      <c r="H130" s="33">
        <v>8.8550000000000004</v>
      </c>
      <c r="I130" s="12">
        <v>0</v>
      </c>
      <c r="K130" s="4">
        <v>9.4875000000000007</v>
      </c>
      <c r="L130" s="4">
        <v>0</v>
      </c>
    </row>
    <row r="131" spans="5:12" x14ac:dyDescent="0.2">
      <c r="E131" s="4">
        <v>8.9250000000000007</v>
      </c>
      <c r="F131" s="4">
        <v>0</v>
      </c>
      <c r="H131" s="33">
        <v>8.9250000000000007</v>
      </c>
      <c r="I131" s="12">
        <v>0</v>
      </c>
      <c r="K131" s="4">
        <v>9.5625</v>
      </c>
      <c r="L131" s="4">
        <v>0</v>
      </c>
    </row>
    <row r="132" spans="5:12" x14ac:dyDescent="0.2">
      <c r="E132" s="4">
        <v>8.9949999999999992</v>
      </c>
      <c r="F132" s="4">
        <v>717</v>
      </c>
      <c r="H132" s="33">
        <v>8.9949999999999992</v>
      </c>
      <c r="I132" s="12">
        <v>877</v>
      </c>
      <c r="K132" s="4">
        <v>9.6374999999999993</v>
      </c>
      <c r="L132" s="4">
        <v>0</v>
      </c>
    </row>
    <row r="133" spans="5:12" x14ac:dyDescent="0.2">
      <c r="E133" s="4">
        <v>9.0649999999999995</v>
      </c>
      <c r="F133" s="4">
        <v>0</v>
      </c>
      <c r="H133" s="33">
        <v>9.0649999999999995</v>
      </c>
      <c r="I133" s="12">
        <v>0</v>
      </c>
      <c r="K133" s="4">
        <v>9.7125000000000004</v>
      </c>
      <c r="L133" s="4">
        <v>0</v>
      </c>
    </row>
    <row r="134" spans="5:12" x14ac:dyDescent="0.2">
      <c r="E134" s="4">
        <v>9.1349999999999998</v>
      </c>
      <c r="F134" s="4">
        <v>0</v>
      </c>
      <c r="H134" s="33">
        <v>9.1349999999999998</v>
      </c>
      <c r="I134" s="12">
        <v>0</v>
      </c>
      <c r="K134" s="4">
        <v>9.7874999999999996</v>
      </c>
      <c r="L134" s="4">
        <v>0</v>
      </c>
    </row>
    <row r="135" spans="5:12" x14ac:dyDescent="0.2">
      <c r="E135" s="4">
        <v>9.2050000000000001</v>
      </c>
      <c r="F135" s="4">
        <v>0</v>
      </c>
      <c r="H135" s="33">
        <v>9.2050000000000001</v>
      </c>
      <c r="I135" s="12">
        <v>0</v>
      </c>
      <c r="K135" s="4">
        <v>9.8625000000000007</v>
      </c>
      <c r="L135" s="4">
        <v>0</v>
      </c>
    </row>
    <row r="136" spans="5:12" x14ac:dyDescent="0.2">
      <c r="E136" s="4">
        <v>9.2750000000000004</v>
      </c>
      <c r="F136" s="4">
        <v>0</v>
      </c>
      <c r="H136" s="33">
        <v>9.2750000000000004</v>
      </c>
      <c r="I136" s="12">
        <v>0</v>
      </c>
      <c r="K136" s="4">
        <v>9.9375</v>
      </c>
      <c r="L136" s="4">
        <v>0</v>
      </c>
    </row>
    <row r="137" spans="5:12" x14ac:dyDescent="0.2">
      <c r="E137" s="4">
        <v>9.3450000000000006</v>
      </c>
      <c r="F137" s="4">
        <v>0</v>
      </c>
      <c r="H137" s="33">
        <v>9.3450000000000006</v>
      </c>
      <c r="I137" s="12">
        <v>0</v>
      </c>
      <c r="K137" s="4">
        <v>10.012499999999999</v>
      </c>
      <c r="L137" s="4">
        <v>742</v>
      </c>
    </row>
    <row r="138" spans="5:12" x14ac:dyDescent="0.2">
      <c r="E138" s="4">
        <v>9.4149999999999991</v>
      </c>
      <c r="F138" s="4">
        <v>0</v>
      </c>
      <c r="H138" s="33">
        <v>9.4149999999999991</v>
      </c>
      <c r="I138" s="12">
        <v>0</v>
      </c>
      <c r="K138" s="4">
        <v>10.0875</v>
      </c>
      <c r="L138" s="4">
        <v>0</v>
      </c>
    </row>
    <row r="139" spans="5:12" x14ac:dyDescent="0.2">
      <c r="E139" s="4">
        <v>9.4849999999999994</v>
      </c>
      <c r="F139" s="4">
        <v>0</v>
      </c>
      <c r="H139" s="33">
        <v>9.4849999999999994</v>
      </c>
      <c r="I139" s="12">
        <v>0</v>
      </c>
      <c r="K139" s="4">
        <v>10.1625</v>
      </c>
      <c r="L139" s="4">
        <v>0</v>
      </c>
    </row>
    <row r="140" spans="5:12" x14ac:dyDescent="0.2">
      <c r="E140" s="4">
        <v>9.5549999999999997</v>
      </c>
      <c r="F140" s="4">
        <v>0</v>
      </c>
      <c r="H140" s="33">
        <v>9.5549999999999997</v>
      </c>
      <c r="I140" s="12">
        <v>0</v>
      </c>
      <c r="K140" s="4">
        <v>10.237500000000001</v>
      </c>
      <c r="L140" s="4">
        <v>0</v>
      </c>
    </row>
    <row r="141" spans="5:12" x14ac:dyDescent="0.2">
      <c r="E141" s="4">
        <v>9.625</v>
      </c>
      <c r="F141" s="4">
        <v>0</v>
      </c>
      <c r="H141" s="33">
        <v>9.625</v>
      </c>
      <c r="I141" s="12">
        <v>0</v>
      </c>
      <c r="K141" s="4">
        <v>10.3125</v>
      </c>
      <c r="L141" s="4">
        <v>0</v>
      </c>
    </row>
    <row r="142" spans="5:12" x14ac:dyDescent="0.2">
      <c r="E142" s="4">
        <v>9.6950000000000003</v>
      </c>
      <c r="F142" s="4">
        <v>0</v>
      </c>
      <c r="H142" s="33">
        <v>9.6950000000000003</v>
      </c>
      <c r="I142" s="12">
        <v>0</v>
      </c>
      <c r="K142" s="4">
        <v>10.387499999999999</v>
      </c>
      <c r="L142" s="4">
        <v>0</v>
      </c>
    </row>
    <row r="143" spans="5:12" x14ac:dyDescent="0.2">
      <c r="E143" s="4">
        <v>9.7650000000000006</v>
      </c>
      <c r="F143" s="4">
        <v>0</v>
      </c>
      <c r="H143" s="33">
        <v>9.7650000000000006</v>
      </c>
      <c r="I143" s="12">
        <v>0</v>
      </c>
      <c r="K143" s="4">
        <v>10.4625</v>
      </c>
      <c r="L143" s="4">
        <v>0</v>
      </c>
    </row>
    <row r="144" spans="5:12" x14ac:dyDescent="0.2">
      <c r="E144" s="4">
        <v>9.8350000000000009</v>
      </c>
      <c r="F144" s="4">
        <v>0</v>
      </c>
      <c r="H144" s="33">
        <v>9.8350000000000009</v>
      </c>
      <c r="I144" s="12">
        <v>0</v>
      </c>
      <c r="K144" s="4">
        <v>10.5375</v>
      </c>
      <c r="L144" s="4">
        <v>0</v>
      </c>
    </row>
    <row r="145" spans="5:12" x14ac:dyDescent="0.2">
      <c r="E145" s="4">
        <v>9.9049999999999994</v>
      </c>
      <c r="F145" s="4">
        <v>0</v>
      </c>
      <c r="H145" s="33">
        <v>9.9049999999999994</v>
      </c>
      <c r="I145" s="12">
        <v>0</v>
      </c>
      <c r="K145" s="4">
        <v>10.612500000000001</v>
      </c>
      <c r="L145" s="4">
        <v>0</v>
      </c>
    </row>
    <row r="146" spans="5:12" x14ac:dyDescent="0.2">
      <c r="E146" s="4">
        <v>9.9749999999999996</v>
      </c>
      <c r="F146" s="4">
        <v>520</v>
      </c>
      <c r="H146" s="33">
        <v>9.9749999999999996</v>
      </c>
      <c r="I146" s="12">
        <v>473</v>
      </c>
      <c r="K146" s="4">
        <v>10.6875</v>
      </c>
      <c r="L146" s="4">
        <v>0</v>
      </c>
    </row>
    <row r="147" spans="5:12" x14ac:dyDescent="0.2">
      <c r="E147" s="4">
        <v>10.045</v>
      </c>
      <c r="F147" s="4">
        <v>0</v>
      </c>
      <c r="H147" s="33">
        <v>10.045</v>
      </c>
      <c r="I147" s="12">
        <v>0</v>
      </c>
      <c r="K147" s="4">
        <v>10.762499999999999</v>
      </c>
      <c r="L147" s="4">
        <v>0</v>
      </c>
    </row>
    <row r="148" spans="5:12" x14ac:dyDescent="0.2">
      <c r="E148" s="4">
        <v>10.115</v>
      </c>
      <c r="F148" s="4">
        <v>0</v>
      </c>
      <c r="H148" s="33">
        <v>10.115</v>
      </c>
      <c r="I148" s="12">
        <v>0</v>
      </c>
      <c r="K148" s="4">
        <v>10.8375</v>
      </c>
      <c r="L148" s="4">
        <v>0</v>
      </c>
    </row>
    <row r="149" spans="5:12" x14ac:dyDescent="0.2">
      <c r="E149" s="4">
        <v>10.185</v>
      </c>
      <c r="F149" s="4">
        <v>0</v>
      </c>
      <c r="H149" s="33">
        <v>10.185</v>
      </c>
      <c r="I149" s="12">
        <v>0</v>
      </c>
      <c r="K149" s="4">
        <v>10.9125</v>
      </c>
      <c r="L149" s="4">
        <v>0</v>
      </c>
    </row>
    <row r="150" spans="5:12" x14ac:dyDescent="0.2">
      <c r="E150" s="4">
        <v>10.255000000000001</v>
      </c>
      <c r="F150" s="4">
        <v>0</v>
      </c>
      <c r="H150" s="33">
        <v>10.255000000000001</v>
      </c>
      <c r="I150" s="12">
        <v>0</v>
      </c>
      <c r="K150" s="4">
        <v>10.987500000000001</v>
      </c>
      <c r="L150" s="4">
        <v>793</v>
      </c>
    </row>
    <row r="151" spans="5:12" x14ac:dyDescent="0.2">
      <c r="E151" s="4">
        <v>10.324999999999999</v>
      </c>
      <c r="F151" s="4">
        <v>0</v>
      </c>
      <c r="H151" s="33">
        <v>10.324999999999999</v>
      </c>
      <c r="I151" s="12">
        <v>0</v>
      </c>
      <c r="K151" s="4">
        <v>11.0625</v>
      </c>
      <c r="L151" s="4">
        <v>0</v>
      </c>
    </row>
    <row r="152" spans="5:12" x14ac:dyDescent="0.2">
      <c r="E152" s="4">
        <v>10.395</v>
      </c>
      <c r="F152" s="4">
        <v>0</v>
      </c>
      <c r="H152" s="33">
        <v>10.395</v>
      </c>
      <c r="I152" s="12">
        <v>0</v>
      </c>
      <c r="K152" s="4">
        <v>11.137499999999999</v>
      </c>
      <c r="L152" s="4">
        <v>0</v>
      </c>
    </row>
    <row r="153" spans="5:12" x14ac:dyDescent="0.2">
      <c r="E153" s="4">
        <v>10.465</v>
      </c>
      <c r="F153" s="4">
        <v>0</v>
      </c>
      <c r="H153" s="33">
        <v>10.465</v>
      </c>
      <c r="I153" s="12">
        <v>0</v>
      </c>
      <c r="K153" s="4">
        <v>11.2125</v>
      </c>
      <c r="L153" s="4">
        <v>0</v>
      </c>
    </row>
    <row r="154" spans="5:12" x14ac:dyDescent="0.2">
      <c r="E154" s="4">
        <v>10.535</v>
      </c>
      <c r="F154" s="4">
        <v>0</v>
      </c>
      <c r="H154" s="33">
        <v>10.535</v>
      </c>
      <c r="I154" s="12">
        <v>0</v>
      </c>
      <c r="K154" s="4">
        <v>11.2875</v>
      </c>
      <c r="L154" s="4">
        <v>0</v>
      </c>
    </row>
    <row r="155" spans="5:12" x14ac:dyDescent="0.2">
      <c r="E155" s="4">
        <v>10.605</v>
      </c>
      <c r="F155" s="4">
        <v>0</v>
      </c>
      <c r="H155" s="33">
        <v>10.605</v>
      </c>
      <c r="I155" s="12">
        <v>0</v>
      </c>
      <c r="K155" s="4">
        <v>11.362500000000001</v>
      </c>
      <c r="L155" s="4">
        <v>0</v>
      </c>
    </row>
    <row r="156" spans="5:12" x14ac:dyDescent="0.2">
      <c r="E156" s="4">
        <v>10.675000000000001</v>
      </c>
      <c r="F156" s="4">
        <v>0</v>
      </c>
      <c r="H156" s="33">
        <v>10.675000000000001</v>
      </c>
      <c r="I156" s="12">
        <v>0</v>
      </c>
      <c r="K156" s="4">
        <v>11.4375</v>
      </c>
      <c r="L156" s="4">
        <v>0</v>
      </c>
    </row>
    <row r="157" spans="5:12" x14ac:dyDescent="0.2">
      <c r="E157" s="4">
        <v>10.744999999999999</v>
      </c>
      <c r="F157" s="4">
        <v>0</v>
      </c>
      <c r="H157" s="33">
        <v>10.744999999999999</v>
      </c>
      <c r="I157" s="12">
        <v>0</v>
      </c>
      <c r="K157" s="4">
        <v>11.512499999999999</v>
      </c>
      <c r="L157" s="4">
        <v>0</v>
      </c>
    </row>
    <row r="158" spans="5:12" x14ac:dyDescent="0.2">
      <c r="E158" s="4">
        <v>10.815</v>
      </c>
      <c r="F158" s="4">
        <v>0</v>
      </c>
      <c r="H158" s="33">
        <v>10.815</v>
      </c>
      <c r="I158" s="12">
        <v>0</v>
      </c>
      <c r="K158" s="4">
        <v>11.5875</v>
      </c>
      <c r="L158" s="4">
        <v>0</v>
      </c>
    </row>
    <row r="159" spans="5:12" x14ac:dyDescent="0.2">
      <c r="E159" s="4">
        <v>10.885</v>
      </c>
      <c r="F159" s="4">
        <v>0</v>
      </c>
      <c r="H159" s="33">
        <v>10.885</v>
      </c>
      <c r="I159" s="12">
        <v>0</v>
      </c>
      <c r="K159" s="4">
        <v>11.6625</v>
      </c>
      <c r="L159" s="4">
        <v>0</v>
      </c>
    </row>
    <row r="160" spans="5:12" x14ac:dyDescent="0.2">
      <c r="E160" s="4">
        <v>10.955</v>
      </c>
      <c r="F160" s="4">
        <v>0</v>
      </c>
      <c r="H160" s="33">
        <v>10.955</v>
      </c>
      <c r="I160" s="12">
        <v>0</v>
      </c>
      <c r="K160" s="4">
        <v>11.737500000000001</v>
      </c>
      <c r="L160" s="4">
        <v>0</v>
      </c>
    </row>
    <row r="161" spans="5:12" x14ac:dyDescent="0.2">
      <c r="E161" s="4">
        <v>11.025</v>
      </c>
      <c r="F161" s="4">
        <v>677</v>
      </c>
      <c r="H161" s="33">
        <v>11.025</v>
      </c>
      <c r="I161" s="12">
        <v>722</v>
      </c>
      <c r="K161" s="4">
        <v>11.8125</v>
      </c>
      <c r="L161" s="4">
        <v>0</v>
      </c>
    </row>
    <row r="162" spans="5:12" x14ac:dyDescent="0.2">
      <c r="E162" s="4">
        <v>11.095000000000001</v>
      </c>
      <c r="F162" s="4">
        <v>0</v>
      </c>
      <c r="H162" s="33">
        <v>11.095000000000001</v>
      </c>
      <c r="I162" s="12">
        <v>0</v>
      </c>
      <c r="K162" s="4">
        <v>11.887499999999999</v>
      </c>
      <c r="L162" s="4">
        <v>0</v>
      </c>
    </row>
    <row r="163" spans="5:12" x14ac:dyDescent="0.2">
      <c r="E163" s="4">
        <v>11.164999999999999</v>
      </c>
      <c r="F163" s="4">
        <v>0</v>
      </c>
      <c r="H163" s="33">
        <v>11.164999999999999</v>
      </c>
      <c r="I163" s="12">
        <v>0</v>
      </c>
      <c r="K163" s="4">
        <v>11.9625</v>
      </c>
      <c r="L163" s="4">
        <v>0</v>
      </c>
    </row>
    <row r="164" spans="5:12" x14ac:dyDescent="0.2">
      <c r="E164" s="4">
        <v>11.234999999999999</v>
      </c>
      <c r="F164" s="4">
        <v>0</v>
      </c>
      <c r="H164" s="33">
        <v>11.234999999999999</v>
      </c>
      <c r="I164" s="12">
        <v>0</v>
      </c>
      <c r="K164" s="4">
        <v>12.0375</v>
      </c>
      <c r="L164" s="4">
        <v>1969</v>
      </c>
    </row>
    <row r="165" spans="5:12" x14ac:dyDescent="0.2">
      <c r="E165" s="4">
        <v>11.305</v>
      </c>
      <c r="F165" s="4">
        <v>0</v>
      </c>
      <c r="H165" s="33">
        <v>11.305</v>
      </c>
      <c r="I165" s="12">
        <v>0</v>
      </c>
      <c r="K165" s="4">
        <v>12.112500000000001</v>
      </c>
      <c r="L165" s="4">
        <v>0</v>
      </c>
    </row>
    <row r="166" spans="5:12" x14ac:dyDescent="0.2">
      <c r="E166" s="4">
        <v>11.375</v>
      </c>
      <c r="F166" s="4">
        <v>0</v>
      </c>
      <c r="H166" s="33">
        <v>11.375</v>
      </c>
      <c r="I166" s="12">
        <v>0</v>
      </c>
      <c r="K166" s="4">
        <v>12.1875</v>
      </c>
      <c r="L166" s="4">
        <v>0</v>
      </c>
    </row>
    <row r="167" spans="5:12" x14ac:dyDescent="0.2">
      <c r="E167" s="4">
        <v>11.445</v>
      </c>
      <c r="F167" s="4">
        <v>0</v>
      </c>
      <c r="H167" s="33">
        <v>11.445</v>
      </c>
      <c r="I167" s="12">
        <v>0</v>
      </c>
      <c r="K167" s="4">
        <v>12.262499999999999</v>
      </c>
      <c r="L167" s="4">
        <v>0</v>
      </c>
    </row>
    <row r="168" spans="5:12" x14ac:dyDescent="0.2">
      <c r="E168" s="4">
        <v>11.515000000000001</v>
      </c>
      <c r="F168" s="4">
        <v>0</v>
      </c>
      <c r="H168" s="33">
        <v>11.515000000000001</v>
      </c>
      <c r="I168" s="12">
        <v>0</v>
      </c>
      <c r="K168" s="4">
        <v>12.3375</v>
      </c>
      <c r="L168" s="4">
        <v>0</v>
      </c>
    </row>
    <row r="169" spans="5:12" x14ac:dyDescent="0.2">
      <c r="E169" s="4">
        <v>11.585000000000001</v>
      </c>
      <c r="F169" s="4">
        <v>0</v>
      </c>
      <c r="H169" s="33">
        <v>11.585000000000001</v>
      </c>
      <c r="I169" s="12">
        <v>0</v>
      </c>
      <c r="K169" s="4">
        <v>12.4125</v>
      </c>
      <c r="L169" s="4">
        <v>0</v>
      </c>
    </row>
    <row r="170" spans="5:12" x14ac:dyDescent="0.2">
      <c r="E170" s="4">
        <v>11.654999999999999</v>
      </c>
      <c r="F170" s="4">
        <v>0</v>
      </c>
      <c r="H170" s="33">
        <v>11.654999999999999</v>
      </c>
      <c r="I170" s="12">
        <v>0</v>
      </c>
      <c r="K170" s="4">
        <v>12.487500000000001</v>
      </c>
      <c r="L170" s="4">
        <v>0</v>
      </c>
    </row>
    <row r="171" spans="5:12" x14ac:dyDescent="0.2">
      <c r="E171" s="4">
        <v>11.725</v>
      </c>
      <c r="F171" s="4">
        <v>0</v>
      </c>
      <c r="H171" s="33">
        <v>11.725</v>
      </c>
      <c r="I171" s="12">
        <v>0</v>
      </c>
      <c r="K171" s="4">
        <v>12.5625</v>
      </c>
      <c r="L171" s="4">
        <v>0</v>
      </c>
    </row>
    <row r="172" spans="5:12" x14ac:dyDescent="0.2">
      <c r="E172" s="4">
        <v>11.795</v>
      </c>
      <c r="F172" s="4">
        <v>0</v>
      </c>
      <c r="H172" s="33">
        <v>11.795</v>
      </c>
      <c r="I172" s="12">
        <v>0</v>
      </c>
      <c r="K172" s="4">
        <v>12.637499999999999</v>
      </c>
      <c r="L172" s="4">
        <v>0</v>
      </c>
    </row>
    <row r="173" spans="5:12" x14ac:dyDescent="0.2">
      <c r="E173" s="4">
        <v>11.865</v>
      </c>
      <c r="F173" s="4">
        <v>0</v>
      </c>
      <c r="H173" s="33">
        <v>11.865</v>
      </c>
      <c r="I173" s="12">
        <v>0</v>
      </c>
      <c r="K173" s="4">
        <v>12.7125</v>
      </c>
      <c r="L173" s="4">
        <v>0</v>
      </c>
    </row>
    <row r="174" spans="5:12" x14ac:dyDescent="0.2">
      <c r="E174" s="4">
        <v>11.935</v>
      </c>
      <c r="F174" s="4">
        <v>0</v>
      </c>
      <c r="H174" s="33">
        <v>11.935</v>
      </c>
      <c r="I174" s="12">
        <v>0</v>
      </c>
      <c r="K174" s="4">
        <v>12.7875</v>
      </c>
      <c r="L174" s="4">
        <v>0</v>
      </c>
    </row>
    <row r="175" spans="5:12" x14ac:dyDescent="0.2">
      <c r="E175" s="4">
        <v>12.005000000000001</v>
      </c>
      <c r="F175" s="4">
        <v>1286</v>
      </c>
      <c r="H175" s="33">
        <v>12.005000000000001</v>
      </c>
      <c r="I175" s="12">
        <v>2060</v>
      </c>
      <c r="K175" s="4">
        <v>12.862500000000001</v>
      </c>
      <c r="L175" s="4">
        <v>0</v>
      </c>
    </row>
    <row r="176" spans="5:12" x14ac:dyDescent="0.2">
      <c r="E176" s="4">
        <v>12.074999999999999</v>
      </c>
      <c r="F176" s="4">
        <v>0</v>
      </c>
      <c r="H176" s="33">
        <v>12.074999999999999</v>
      </c>
      <c r="I176" s="12">
        <v>0</v>
      </c>
      <c r="K176" s="4">
        <v>12.9375</v>
      </c>
      <c r="L176" s="4">
        <v>0</v>
      </c>
    </row>
    <row r="177" spans="5:12" x14ac:dyDescent="0.2">
      <c r="E177" s="4">
        <v>12.145</v>
      </c>
      <c r="F177" s="4">
        <v>0</v>
      </c>
      <c r="H177" s="33">
        <v>12.145</v>
      </c>
      <c r="I177" s="12">
        <v>0</v>
      </c>
      <c r="K177" s="4">
        <v>13.012499999999999</v>
      </c>
      <c r="L177" s="4">
        <v>214</v>
      </c>
    </row>
    <row r="178" spans="5:12" x14ac:dyDescent="0.2">
      <c r="E178" s="4">
        <v>12.215</v>
      </c>
      <c r="F178" s="4">
        <v>0</v>
      </c>
      <c r="H178" s="33">
        <v>12.215</v>
      </c>
      <c r="I178" s="12">
        <v>0</v>
      </c>
      <c r="K178" s="4">
        <v>13.0875</v>
      </c>
      <c r="L178" s="4">
        <v>0</v>
      </c>
    </row>
    <row r="179" spans="5:12" x14ac:dyDescent="0.2">
      <c r="E179" s="4">
        <v>12.285</v>
      </c>
      <c r="F179" s="4">
        <v>0</v>
      </c>
      <c r="H179" s="33">
        <v>12.285</v>
      </c>
      <c r="I179" s="12">
        <v>0</v>
      </c>
      <c r="K179" s="4">
        <v>13.1625</v>
      </c>
      <c r="L179" s="4">
        <v>0</v>
      </c>
    </row>
    <row r="180" spans="5:12" x14ac:dyDescent="0.2">
      <c r="E180" s="4">
        <v>12.355</v>
      </c>
      <c r="F180" s="4">
        <v>0</v>
      </c>
      <c r="H180" s="33">
        <v>12.355</v>
      </c>
      <c r="I180" s="12">
        <v>0</v>
      </c>
      <c r="K180" s="4">
        <v>13.237500000000001</v>
      </c>
      <c r="L180" s="4">
        <v>0</v>
      </c>
    </row>
    <row r="181" spans="5:12" x14ac:dyDescent="0.2">
      <c r="E181" s="4">
        <v>12.425000000000001</v>
      </c>
      <c r="F181" s="4">
        <v>0</v>
      </c>
      <c r="H181" s="33">
        <v>12.425000000000001</v>
      </c>
      <c r="I181" s="12">
        <v>0</v>
      </c>
      <c r="K181" s="4">
        <v>13.3125</v>
      </c>
      <c r="L181" s="4">
        <v>0</v>
      </c>
    </row>
    <row r="182" spans="5:12" x14ac:dyDescent="0.2">
      <c r="E182" s="4">
        <v>12.494999999999999</v>
      </c>
      <c r="F182" s="4">
        <v>0</v>
      </c>
      <c r="H182" s="33">
        <v>12.494999999999999</v>
      </c>
      <c r="I182" s="12">
        <v>0</v>
      </c>
      <c r="K182" s="4">
        <v>13.387499999999999</v>
      </c>
      <c r="L182" s="4">
        <v>0</v>
      </c>
    </row>
    <row r="183" spans="5:12" x14ac:dyDescent="0.2">
      <c r="E183" s="4">
        <v>12.565</v>
      </c>
      <c r="F183" s="4">
        <v>0</v>
      </c>
      <c r="H183" s="33">
        <v>12.565</v>
      </c>
      <c r="I183" s="12">
        <v>0</v>
      </c>
      <c r="K183" s="4">
        <v>13.4625</v>
      </c>
      <c r="L183" s="4">
        <v>0</v>
      </c>
    </row>
    <row r="184" spans="5:12" x14ac:dyDescent="0.2">
      <c r="E184" s="4">
        <v>12.635</v>
      </c>
      <c r="F184" s="4">
        <v>0</v>
      </c>
      <c r="H184" s="33">
        <v>12.635</v>
      </c>
      <c r="I184" s="12">
        <v>0</v>
      </c>
      <c r="K184" s="4">
        <v>13.5375</v>
      </c>
      <c r="L184" s="4">
        <v>0</v>
      </c>
    </row>
    <row r="185" spans="5:12" x14ac:dyDescent="0.2">
      <c r="E185" s="4">
        <v>12.705</v>
      </c>
      <c r="F185" s="4">
        <v>0</v>
      </c>
      <c r="H185" s="33">
        <v>12.705</v>
      </c>
      <c r="I185" s="12">
        <v>0</v>
      </c>
      <c r="K185" s="4">
        <v>13.612500000000001</v>
      </c>
      <c r="L185" s="4">
        <v>0</v>
      </c>
    </row>
    <row r="186" spans="5:12" x14ac:dyDescent="0.2">
      <c r="E186" s="4">
        <v>12.775</v>
      </c>
      <c r="F186" s="4">
        <v>0</v>
      </c>
      <c r="H186" s="33">
        <v>12.775</v>
      </c>
      <c r="I186" s="12">
        <v>0</v>
      </c>
      <c r="K186" s="4">
        <v>13.6875</v>
      </c>
      <c r="L186" s="4">
        <v>0</v>
      </c>
    </row>
    <row r="187" spans="5:12" x14ac:dyDescent="0.2">
      <c r="E187" s="4">
        <v>12.845000000000001</v>
      </c>
      <c r="F187" s="4">
        <v>0</v>
      </c>
      <c r="H187" s="33">
        <v>12.845000000000001</v>
      </c>
      <c r="I187" s="12">
        <v>0</v>
      </c>
      <c r="K187" s="4">
        <v>13.762499999999999</v>
      </c>
      <c r="L187" s="4">
        <v>0</v>
      </c>
    </row>
    <row r="188" spans="5:12" x14ac:dyDescent="0.2">
      <c r="E188" s="4">
        <v>12.914999999999999</v>
      </c>
      <c r="F188" s="4">
        <v>0</v>
      </c>
      <c r="H188" s="33">
        <v>12.914999999999999</v>
      </c>
      <c r="I188" s="12">
        <v>0</v>
      </c>
      <c r="K188" s="4">
        <v>13.8375</v>
      </c>
      <c r="L188" s="4">
        <v>0</v>
      </c>
    </row>
    <row r="189" spans="5:12" x14ac:dyDescent="0.2">
      <c r="E189" s="4">
        <v>12.984999999999999</v>
      </c>
      <c r="F189" s="4">
        <v>131</v>
      </c>
      <c r="H189" s="33">
        <v>12.984999999999999</v>
      </c>
      <c r="I189" s="12">
        <v>181</v>
      </c>
      <c r="K189" s="4">
        <v>13.9125</v>
      </c>
      <c r="L189" s="4">
        <v>0</v>
      </c>
    </row>
    <row r="190" spans="5:12" x14ac:dyDescent="0.2">
      <c r="E190" s="4">
        <v>13.055</v>
      </c>
      <c r="F190" s="4">
        <v>0</v>
      </c>
      <c r="H190" s="33">
        <v>13.055</v>
      </c>
      <c r="I190" s="12">
        <v>0</v>
      </c>
      <c r="K190" s="4">
        <v>13.987500000000001</v>
      </c>
      <c r="L190" s="4">
        <v>28</v>
      </c>
    </row>
    <row r="191" spans="5:12" x14ac:dyDescent="0.2">
      <c r="E191" s="4">
        <v>13.125</v>
      </c>
      <c r="F191" s="4">
        <v>0</v>
      </c>
      <c r="H191" s="33">
        <v>13.125</v>
      </c>
      <c r="I191" s="12">
        <v>0</v>
      </c>
      <c r="K191" s="4">
        <v>14.0625</v>
      </c>
      <c r="L191" s="4">
        <v>0</v>
      </c>
    </row>
    <row r="192" spans="5:12" x14ac:dyDescent="0.2">
      <c r="E192" s="4">
        <v>13.195</v>
      </c>
      <c r="F192" s="4">
        <v>0</v>
      </c>
      <c r="H192" s="33">
        <v>13.195</v>
      </c>
      <c r="I192" s="12">
        <v>0</v>
      </c>
      <c r="K192" s="4">
        <v>14.137499999999999</v>
      </c>
      <c r="L192" s="4">
        <v>0</v>
      </c>
    </row>
    <row r="193" spans="5:12" x14ac:dyDescent="0.2">
      <c r="E193" s="4">
        <v>13.265000000000001</v>
      </c>
      <c r="F193" s="4">
        <v>0</v>
      </c>
      <c r="H193" s="33">
        <v>13.265000000000001</v>
      </c>
      <c r="I193" s="12">
        <v>0</v>
      </c>
      <c r="K193" s="4">
        <v>14.2125</v>
      </c>
      <c r="L193" s="4">
        <v>0</v>
      </c>
    </row>
    <row r="194" spans="5:12" x14ac:dyDescent="0.2">
      <c r="E194" s="4">
        <v>13.335000000000001</v>
      </c>
      <c r="F194" s="4">
        <v>0</v>
      </c>
      <c r="H194" s="33">
        <v>13.335000000000001</v>
      </c>
      <c r="I194" s="12">
        <v>0</v>
      </c>
      <c r="K194" s="4">
        <v>14.2875</v>
      </c>
      <c r="L194" s="4">
        <v>0</v>
      </c>
    </row>
    <row r="195" spans="5:12" x14ac:dyDescent="0.2">
      <c r="E195" s="4">
        <v>13.404999999999999</v>
      </c>
      <c r="F195" s="4">
        <v>0</v>
      </c>
      <c r="H195" s="33">
        <v>13.404999999999999</v>
      </c>
      <c r="I195" s="12">
        <v>0</v>
      </c>
      <c r="K195" s="4">
        <v>14.362500000000001</v>
      </c>
      <c r="L195" s="4">
        <v>0</v>
      </c>
    </row>
    <row r="196" spans="5:12" x14ac:dyDescent="0.2">
      <c r="E196" s="4">
        <v>13.475</v>
      </c>
      <c r="F196" s="4">
        <v>0</v>
      </c>
      <c r="H196" s="33">
        <v>13.475</v>
      </c>
      <c r="I196" s="12">
        <v>0</v>
      </c>
      <c r="K196" s="4">
        <v>14.4375</v>
      </c>
      <c r="L196" s="4">
        <v>0</v>
      </c>
    </row>
    <row r="197" spans="5:12" x14ac:dyDescent="0.2">
      <c r="E197" s="4">
        <v>13.545</v>
      </c>
      <c r="F197" s="4">
        <v>0</v>
      </c>
      <c r="H197" s="33">
        <v>13.545</v>
      </c>
      <c r="I197" s="12">
        <v>0</v>
      </c>
      <c r="K197" s="4">
        <v>14.512499999999999</v>
      </c>
      <c r="L197" s="4">
        <v>0</v>
      </c>
    </row>
    <row r="198" spans="5:12" x14ac:dyDescent="0.2">
      <c r="E198" s="4">
        <v>13.615</v>
      </c>
      <c r="F198" s="4">
        <v>0</v>
      </c>
      <c r="H198" s="33">
        <v>13.615</v>
      </c>
      <c r="I198" s="12">
        <v>0</v>
      </c>
      <c r="K198" s="4">
        <v>14.5875</v>
      </c>
      <c r="L198" s="4">
        <v>0</v>
      </c>
    </row>
    <row r="199" spans="5:12" x14ac:dyDescent="0.2">
      <c r="E199" s="4">
        <v>13.685</v>
      </c>
      <c r="F199" s="4">
        <v>0</v>
      </c>
      <c r="H199" s="33">
        <v>13.685</v>
      </c>
      <c r="I199" s="12">
        <v>0</v>
      </c>
      <c r="K199" s="4">
        <v>14.6625</v>
      </c>
      <c r="L199" s="4">
        <v>0</v>
      </c>
    </row>
    <row r="200" spans="5:12" x14ac:dyDescent="0.2">
      <c r="E200" s="4">
        <v>13.755000000000001</v>
      </c>
      <c r="F200" s="4">
        <v>0</v>
      </c>
      <c r="H200" s="33">
        <v>13.755000000000001</v>
      </c>
      <c r="I200" s="12">
        <v>0</v>
      </c>
      <c r="K200" s="4">
        <v>14.737500000000001</v>
      </c>
      <c r="L200" s="4">
        <v>0</v>
      </c>
    </row>
    <row r="201" spans="5:12" x14ac:dyDescent="0.2">
      <c r="E201" s="4">
        <v>13.824999999999999</v>
      </c>
      <c r="F201" s="4">
        <v>0</v>
      </c>
      <c r="H201" s="33">
        <v>13.824999999999999</v>
      </c>
      <c r="I201" s="12">
        <v>0</v>
      </c>
      <c r="K201" s="4">
        <v>14.8125</v>
      </c>
      <c r="L201" s="4">
        <v>0</v>
      </c>
    </row>
    <row r="202" spans="5:12" x14ac:dyDescent="0.2">
      <c r="E202" s="4">
        <v>13.895</v>
      </c>
      <c r="F202" s="4">
        <v>0</v>
      </c>
      <c r="H202" s="33">
        <v>13.895</v>
      </c>
      <c r="I202" s="12">
        <v>0</v>
      </c>
      <c r="K202" s="4">
        <v>14.887499999999999</v>
      </c>
      <c r="L202" s="4">
        <v>0</v>
      </c>
    </row>
    <row r="203" spans="5:12" x14ac:dyDescent="0.2">
      <c r="E203" s="4">
        <v>13.965</v>
      </c>
      <c r="F203" s="4">
        <v>12</v>
      </c>
      <c r="H203" s="33">
        <v>13.965</v>
      </c>
      <c r="I203" s="12">
        <v>11</v>
      </c>
      <c r="K203" s="4">
        <v>14.9625</v>
      </c>
      <c r="L203" s="4">
        <v>2</v>
      </c>
    </row>
  </sheetData>
  <mergeCells count="5">
    <mergeCell ref="P49:U51"/>
    <mergeCell ref="K3:L3"/>
    <mergeCell ref="B3:C3"/>
    <mergeCell ref="E3:F3"/>
    <mergeCell ref="H3:I3"/>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17E52-D35F-284E-B42D-B574DE9C5F6E}">
  <dimension ref="A1:AD587"/>
  <sheetViews>
    <sheetView zoomScale="90" zoomScaleNormal="90" workbookViewId="0">
      <selection activeCell="A2" sqref="A2"/>
    </sheetView>
  </sheetViews>
  <sheetFormatPr baseColWidth="10" defaultRowHeight="16" x14ac:dyDescent="0.2"/>
  <cols>
    <col min="1" max="2" width="10.83203125" style="4"/>
    <col min="3" max="3" width="13" style="4" bestFit="1" customWidth="1"/>
    <col min="4" max="5" width="10.83203125" style="4"/>
    <col min="6" max="6" width="13" style="4" bestFit="1" customWidth="1"/>
    <col min="7" max="8" width="10.83203125" style="4"/>
    <col min="9" max="9" width="13" style="4" bestFit="1" customWidth="1"/>
    <col min="10" max="11" width="10.83203125" style="4"/>
    <col min="12" max="12" width="13" style="4" bestFit="1" customWidth="1"/>
    <col min="13" max="13" width="15.6640625" style="4" bestFit="1" customWidth="1"/>
    <col min="14" max="14" width="21" style="4" customWidth="1"/>
    <col min="15" max="16384" width="10.83203125" style="4"/>
  </cols>
  <sheetData>
    <row r="1" spans="1:14" x14ac:dyDescent="0.2">
      <c r="A1" s="4" t="s">
        <v>211</v>
      </c>
    </row>
    <row r="3" spans="1:14" x14ac:dyDescent="0.2">
      <c r="B3" s="102" t="s">
        <v>50</v>
      </c>
      <c r="C3" s="102"/>
      <c r="E3" s="102" t="s">
        <v>51</v>
      </c>
      <c r="F3" s="102"/>
      <c r="H3" s="102" t="s">
        <v>52</v>
      </c>
      <c r="I3" s="102"/>
      <c r="K3" s="102" t="s">
        <v>53</v>
      </c>
      <c r="L3" s="102"/>
    </row>
    <row r="4" spans="1:14" x14ac:dyDescent="0.2">
      <c r="B4" s="49" t="s">
        <v>204</v>
      </c>
      <c r="C4" s="49" t="s">
        <v>205</v>
      </c>
      <c r="E4" s="49" t="s">
        <v>204</v>
      </c>
      <c r="F4" s="49" t="s">
        <v>205</v>
      </c>
      <c r="H4" s="49" t="s">
        <v>204</v>
      </c>
      <c r="I4" s="49" t="s">
        <v>205</v>
      </c>
      <c r="K4" s="49" t="s">
        <v>204</v>
      </c>
      <c r="L4" s="49" t="s">
        <v>205</v>
      </c>
    </row>
    <row r="5" spans="1:14" x14ac:dyDescent="0.2">
      <c r="E5" s="83">
        <v>585</v>
      </c>
      <c r="F5" s="4">
        <v>117.099</v>
      </c>
      <c r="H5" s="83">
        <v>1110</v>
      </c>
      <c r="I5" s="4">
        <v>77.402299999999997</v>
      </c>
      <c r="K5" s="83">
        <v>3764</v>
      </c>
      <c r="L5" s="4">
        <v>119.28</v>
      </c>
      <c r="N5" s="77" t="s">
        <v>204</v>
      </c>
    </row>
    <row r="6" spans="1:14" x14ac:dyDescent="0.2">
      <c r="E6" s="4">
        <v>568</v>
      </c>
      <c r="F6" s="4">
        <v>100.80200000000001</v>
      </c>
      <c r="H6" s="4">
        <v>410</v>
      </c>
      <c r="I6" s="4">
        <v>98.243200000000002</v>
      </c>
      <c r="K6" s="4">
        <v>646</v>
      </c>
      <c r="L6" s="4">
        <v>135.30799999999999</v>
      </c>
      <c r="N6" s="9">
        <v>5</v>
      </c>
    </row>
    <row r="7" spans="1:14" x14ac:dyDescent="0.2">
      <c r="E7" s="4">
        <v>383</v>
      </c>
      <c r="F7" s="4">
        <v>112.328</v>
      </c>
      <c r="H7" s="4">
        <v>407</v>
      </c>
      <c r="I7" s="4">
        <v>72.8977</v>
      </c>
      <c r="K7" s="4">
        <v>483</v>
      </c>
      <c r="L7" s="4">
        <v>129.84200000000001</v>
      </c>
    </row>
    <row r="8" spans="1:14" x14ac:dyDescent="0.2">
      <c r="E8" s="4">
        <v>333</v>
      </c>
      <c r="F8" s="4">
        <v>110.76600000000001</v>
      </c>
      <c r="H8" s="4">
        <v>304</v>
      </c>
      <c r="I8" s="4">
        <v>88.979799999999997</v>
      </c>
      <c r="K8" s="4">
        <v>376</v>
      </c>
      <c r="L8" s="4">
        <v>125.5</v>
      </c>
    </row>
    <row r="9" spans="1:14" x14ac:dyDescent="0.2">
      <c r="E9" s="4">
        <v>305</v>
      </c>
      <c r="F9" s="4">
        <v>90.660499999999999</v>
      </c>
      <c r="H9" s="4">
        <v>292</v>
      </c>
      <c r="I9" s="4">
        <v>66.161000000000001</v>
      </c>
      <c r="K9" s="4">
        <v>286</v>
      </c>
      <c r="L9" s="4">
        <v>112.85899999999999</v>
      </c>
    </row>
    <row r="10" spans="1:14" x14ac:dyDescent="0.2">
      <c r="E10" s="4">
        <v>260</v>
      </c>
      <c r="F10" s="4">
        <v>101.49299999999999</v>
      </c>
      <c r="H10" s="4">
        <v>248</v>
      </c>
      <c r="I10" s="4">
        <v>94.091399999999993</v>
      </c>
      <c r="K10" s="4">
        <v>253</v>
      </c>
      <c r="L10" s="4">
        <v>123.005</v>
      </c>
    </row>
    <row r="11" spans="1:14" x14ac:dyDescent="0.2">
      <c r="E11" s="4">
        <v>259</v>
      </c>
      <c r="F11" s="4">
        <v>110.895</v>
      </c>
      <c r="H11" s="4">
        <v>247</v>
      </c>
      <c r="I11" s="4">
        <v>72.157799999999995</v>
      </c>
      <c r="K11" s="4">
        <v>238</v>
      </c>
      <c r="L11" s="4">
        <v>112.139</v>
      </c>
    </row>
    <row r="12" spans="1:14" x14ac:dyDescent="0.2">
      <c r="E12" s="4">
        <v>232</v>
      </c>
      <c r="F12" s="4">
        <v>100.11</v>
      </c>
      <c r="H12" s="4">
        <v>230</v>
      </c>
      <c r="I12" s="4">
        <v>93.581000000000003</v>
      </c>
      <c r="K12" s="4">
        <v>233</v>
      </c>
      <c r="L12" s="4">
        <v>109.898</v>
      </c>
      <c r="N12" s="9">
        <v>3764</v>
      </c>
    </row>
    <row r="13" spans="1:14" x14ac:dyDescent="0.2">
      <c r="E13" s="4">
        <v>225</v>
      </c>
      <c r="F13" s="4">
        <v>108.004</v>
      </c>
      <c r="H13" s="4">
        <v>229</v>
      </c>
      <c r="I13" s="4">
        <v>76.083399999999997</v>
      </c>
      <c r="K13" s="4">
        <v>220</v>
      </c>
      <c r="L13" s="4">
        <v>123.301</v>
      </c>
    </row>
    <row r="14" spans="1:14" x14ac:dyDescent="0.2">
      <c r="E14" s="4">
        <v>221</v>
      </c>
      <c r="F14" s="4">
        <v>106.224</v>
      </c>
      <c r="H14" s="4">
        <v>211</v>
      </c>
      <c r="I14" s="4">
        <v>85.3964</v>
      </c>
      <c r="K14" s="4">
        <v>216</v>
      </c>
      <c r="L14" s="4">
        <v>117.318</v>
      </c>
    </row>
    <row r="15" spans="1:14" x14ac:dyDescent="0.2">
      <c r="E15" s="4">
        <v>214</v>
      </c>
      <c r="F15" s="4">
        <v>108.184</v>
      </c>
      <c r="H15" s="4">
        <v>206</v>
      </c>
      <c r="I15" s="4">
        <v>101.786</v>
      </c>
      <c r="K15" s="4">
        <v>205</v>
      </c>
      <c r="L15" s="4">
        <v>105.03100000000001</v>
      </c>
    </row>
    <row r="16" spans="1:14" x14ac:dyDescent="0.2">
      <c r="E16" s="4">
        <v>208</v>
      </c>
      <c r="F16" s="4">
        <v>96.372100000000003</v>
      </c>
      <c r="H16" s="4">
        <v>203</v>
      </c>
      <c r="I16" s="4">
        <v>76.128900000000002</v>
      </c>
      <c r="K16" s="4">
        <v>186</v>
      </c>
      <c r="L16" s="4">
        <v>111.357</v>
      </c>
    </row>
    <row r="17" spans="5:24" x14ac:dyDescent="0.2">
      <c r="E17" s="4">
        <v>204</v>
      </c>
      <c r="F17" s="4">
        <v>89.952100000000002</v>
      </c>
      <c r="H17" s="4">
        <v>199</v>
      </c>
      <c r="I17" s="4">
        <v>92.924000000000007</v>
      </c>
      <c r="K17" s="4">
        <v>186</v>
      </c>
      <c r="L17" s="4">
        <v>124.349</v>
      </c>
    </row>
    <row r="18" spans="5:24" x14ac:dyDescent="0.2">
      <c r="E18" s="4">
        <v>195</v>
      </c>
      <c r="F18" s="4">
        <v>95.434899999999999</v>
      </c>
      <c r="H18" s="4">
        <v>188</v>
      </c>
      <c r="I18" s="4">
        <v>81.578199999999995</v>
      </c>
      <c r="K18" s="4">
        <v>155</v>
      </c>
      <c r="L18" s="4">
        <v>107.842</v>
      </c>
    </row>
    <row r="19" spans="5:24" x14ac:dyDescent="0.2">
      <c r="E19" s="4">
        <v>191</v>
      </c>
      <c r="F19" s="4">
        <v>122.792</v>
      </c>
      <c r="H19" s="4">
        <v>186</v>
      </c>
      <c r="I19" s="4">
        <v>72.384299999999996</v>
      </c>
      <c r="K19" s="4">
        <v>150</v>
      </c>
      <c r="L19" s="4">
        <v>125.80800000000001</v>
      </c>
    </row>
    <row r="20" spans="5:24" x14ac:dyDescent="0.2">
      <c r="E20" s="4">
        <v>188</v>
      </c>
      <c r="F20" s="4">
        <v>128.22999999999999</v>
      </c>
      <c r="H20" s="4">
        <v>183</v>
      </c>
      <c r="I20" s="4">
        <v>83.837900000000005</v>
      </c>
      <c r="K20" s="4">
        <v>130</v>
      </c>
      <c r="L20" s="4">
        <v>121.97199999999999</v>
      </c>
    </row>
    <row r="21" spans="5:24" x14ac:dyDescent="0.2">
      <c r="E21" s="4">
        <v>186</v>
      </c>
      <c r="F21" s="4">
        <v>87.9482</v>
      </c>
      <c r="H21" s="4">
        <v>175</v>
      </c>
      <c r="I21" s="4">
        <v>73.659800000000004</v>
      </c>
      <c r="K21" s="4">
        <v>117</v>
      </c>
      <c r="L21" s="4">
        <v>114.425</v>
      </c>
    </row>
    <row r="22" spans="5:24" x14ac:dyDescent="0.2">
      <c r="E22" s="4">
        <v>162</v>
      </c>
      <c r="F22" s="4">
        <v>110.372</v>
      </c>
      <c r="H22" s="4">
        <v>159</v>
      </c>
      <c r="I22" s="4">
        <v>96.222999999999999</v>
      </c>
      <c r="K22" s="4">
        <v>114</v>
      </c>
      <c r="L22" s="4">
        <v>130.68799999999999</v>
      </c>
    </row>
    <row r="23" spans="5:24" x14ac:dyDescent="0.2">
      <c r="E23" s="4">
        <v>159</v>
      </c>
      <c r="F23" s="4">
        <v>100.22199999999999</v>
      </c>
      <c r="H23" s="4">
        <v>155</v>
      </c>
      <c r="I23" s="4">
        <v>93.341200000000001</v>
      </c>
      <c r="K23" s="4">
        <v>110</v>
      </c>
      <c r="L23" s="4">
        <v>126.328</v>
      </c>
    </row>
    <row r="24" spans="5:24" x14ac:dyDescent="0.2">
      <c r="E24" s="4">
        <v>157</v>
      </c>
      <c r="F24" s="4">
        <v>86.673299999999998</v>
      </c>
      <c r="H24" s="4">
        <v>140</v>
      </c>
      <c r="I24" s="4">
        <v>76.163399999999996</v>
      </c>
      <c r="K24" s="4">
        <v>108</v>
      </c>
      <c r="L24" s="4">
        <v>98.424899999999994</v>
      </c>
    </row>
    <row r="25" spans="5:24" x14ac:dyDescent="0.2">
      <c r="E25" s="4">
        <v>156</v>
      </c>
      <c r="F25" s="4">
        <v>112.47799999999999</v>
      </c>
      <c r="H25" s="4">
        <v>133</v>
      </c>
      <c r="I25" s="4">
        <v>57.8598</v>
      </c>
      <c r="K25" s="4">
        <v>99</v>
      </c>
      <c r="L25" s="4">
        <v>98.044300000000007</v>
      </c>
    </row>
    <row r="26" spans="5:24" x14ac:dyDescent="0.2">
      <c r="E26" s="4">
        <v>150</v>
      </c>
      <c r="F26" s="4">
        <v>102.748</v>
      </c>
      <c r="H26" s="4">
        <v>126</v>
      </c>
      <c r="I26" s="4">
        <v>57.688699999999997</v>
      </c>
      <c r="K26" s="4">
        <v>98</v>
      </c>
      <c r="L26" s="4">
        <v>95.765600000000006</v>
      </c>
    </row>
    <row r="27" spans="5:24" x14ac:dyDescent="0.2">
      <c r="E27" s="4">
        <v>137</v>
      </c>
      <c r="F27" s="4">
        <v>109.55500000000001</v>
      </c>
      <c r="H27" s="4">
        <v>122</v>
      </c>
      <c r="I27" s="4">
        <v>74.182100000000005</v>
      </c>
      <c r="K27" s="4">
        <v>97</v>
      </c>
      <c r="L27" s="4">
        <v>115.04900000000001</v>
      </c>
      <c r="O27" s="105" t="s">
        <v>203</v>
      </c>
      <c r="P27" s="105"/>
      <c r="Q27" s="105"/>
      <c r="R27" s="105"/>
      <c r="S27" s="105"/>
      <c r="T27" s="105"/>
      <c r="U27" s="105"/>
      <c r="V27" s="105"/>
      <c r="W27" s="105"/>
      <c r="X27" s="105"/>
    </row>
    <row r="28" spans="5:24" ht="16" customHeight="1" x14ac:dyDescent="0.2">
      <c r="E28" s="4">
        <v>117</v>
      </c>
      <c r="F28" s="4">
        <v>108.336</v>
      </c>
      <c r="H28" s="4">
        <v>113</v>
      </c>
      <c r="I28" s="4">
        <v>69.757300000000001</v>
      </c>
      <c r="K28" s="4">
        <v>95</v>
      </c>
      <c r="L28" s="4">
        <v>120.74299999999999</v>
      </c>
      <c r="O28" s="87" t="s">
        <v>208</v>
      </c>
      <c r="P28" s="87"/>
      <c r="Q28" s="87"/>
      <c r="R28" s="87"/>
      <c r="S28" s="87"/>
      <c r="T28" s="87"/>
      <c r="U28" s="87"/>
      <c r="V28" s="87"/>
      <c r="W28" s="87"/>
      <c r="X28" s="87"/>
    </row>
    <row r="29" spans="5:24" x14ac:dyDescent="0.2">
      <c r="E29" s="4">
        <v>116</v>
      </c>
      <c r="F29" s="4">
        <v>113.907</v>
      </c>
      <c r="H29" s="4">
        <v>111</v>
      </c>
      <c r="I29" s="4">
        <v>109.651</v>
      </c>
      <c r="K29" s="4">
        <v>92</v>
      </c>
      <c r="L29" s="4">
        <v>131.21</v>
      </c>
      <c r="N29" s="106"/>
      <c r="O29" s="87"/>
      <c r="P29" s="87"/>
      <c r="Q29" s="87"/>
      <c r="R29" s="87"/>
      <c r="S29" s="87"/>
      <c r="T29" s="87"/>
      <c r="U29" s="87"/>
      <c r="V29" s="87"/>
      <c r="W29" s="87"/>
      <c r="X29" s="87"/>
    </row>
    <row r="30" spans="5:24" x14ac:dyDescent="0.2">
      <c r="E30" s="4">
        <v>115</v>
      </c>
      <c r="F30" s="4">
        <v>95.447599999999994</v>
      </c>
      <c r="H30" s="4">
        <v>110</v>
      </c>
      <c r="I30" s="4">
        <v>80.9773</v>
      </c>
      <c r="K30" s="4">
        <v>82</v>
      </c>
      <c r="L30" s="4">
        <v>119.688</v>
      </c>
      <c r="N30" s="106"/>
      <c r="O30" s="106"/>
      <c r="P30" s="106"/>
      <c r="Q30" s="106"/>
      <c r="R30" s="106"/>
      <c r="S30" s="106"/>
      <c r="T30" s="106"/>
      <c r="U30" s="106"/>
      <c r="V30" s="106"/>
      <c r="W30" s="106"/>
      <c r="X30" s="106"/>
    </row>
    <row r="31" spans="5:24" x14ac:dyDescent="0.2">
      <c r="E31" s="4">
        <v>113</v>
      </c>
      <c r="F31" s="4">
        <v>118.001</v>
      </c>
      <c r="H31" s="4">
        <v>107</v>
      </c>
      <c r="I31" s="4">
        <v>93.976200000000006</v>
      </c>
      <c r="K31" s="4">
        <v>79</v>
      </c>
      <c r="L31" s="4">
        <v>113.78400000000001</v>
      </c>
    </row>
    <row r="32" spans="5:24" x14ac:dyDescent="0.2">
      <c r="E32" s="4">
        <v>108</v>
      </c>
      <c r="F32" s="4">
        <v>118.896</v>
      </c>
      <c r="H32" s="4">
        <v>106</v>
      </c>
      <c r="I32" s="4">
        <v>60.695799999999998</v>
      </c>
      <c r="K32" s="4">
        <v>76</v>
      </c>
      <c r="L32" s="4">
        <v>95.372600000000006</v>
      </c>
    </row>
    <row r="33" spans="5:12" x14ac:dyDescent="0.2">
      <c r="E33" s="4">
        <v>107</v>
      </c>
      <c r="F33" s="4">
        <v>110.273</v>
      </c>
      <c r="H33" s="4">
        <v>106</v>
      </c>
      <c r="I33" s="4">
        <v>89.093900000000005</v>
      </c>
      <c r="K33" s="4">
        <v>71</v>
      </c>
      <c r="L33" s="4">
        <v>104.90900000000001</v>
      </c>
    </row>
    <row r="34" spans="5:12" x14ac:dyDescent="0.2">
      <c r="E34" s="4">
        <v>107</v>
      </c>
      <c r="F34" s="4">
        <v>118.48699999999999</v>
      </c>
      <c r="H34" s="4">
        <v>105</v>
      </c>
      <c r="I34" s="4">
        <v>84.832300000000004</v>
      </c>
      <c r="K34" s="4">
        <v>69</v>
      </c>
      <c r="L34" s="4">
        <v>141.09200000000001</v>
      </c>
    </row>
    <row r="35" spans="5:12" x14ac:dyDescent="0.2">
      <c r="E35" s="4">
        <v>106</v>
      </c>
      <c r="F35" s="4">
        <v>87.614999999999995</v>
      </c>
      <c r="H35" s="4">
        <v>102</v>
      </c>
      <c r="I35" s="4">
        <v>92.786000000000001</v>
      </c>
      <c r="K35" s="4">
        <v>68</v>
      </c>
      <c r="L35" s="4">
        <v>94.175399999999996</v>
      </c>
    </row>
    <row r="36" spans="5:12" x14ac:dyDescent="0.2">
      <c r="E36" s="4">
        <v>106</v>
      </c>
      <c r="F36" s="4">
        <v>118.09699999999999</v>
      </c>
      <c r="H36" s="4">
        <v>102</v>
      </c>
      <c r="I36" s="4">
        <v>92.811499999999995</v>
      </c>
      <c r="K36" s="4">
        <v>68</v>
      </c>
      <c r="L36" s="4">
        <v>123.032</v>
      </c>
    </row>
    <row r="37" spans="5:12" x14ac:dyDescent="0.2">
      <c r="E37" s="4">
        <v>104</v>
      </c>
      <c r="F37" s="4">
        <v>114.96299999999999</v>
      </c>
      <c r="H37" s="4">
        <v>102</v>
      </c>
      <c r="I37" s="4">
        <v>64.472999999999999</v>
      </c>
      <c r="K37" s="4">
        <v>58</v>
      </c>
      <c r="L37" s="4">
        <v>142.96</v>
      </c>
    </row>
    <row r="38" spans="5:12" x14ac:dyDescent="0.2">
      <c r="E38" s="4">
        <v>102</v>
      </c>
      <c r="F38" s="4">
        <v>103.60599999999999</v>
      </c>
      <c r="H38" s="4">
        <v>101</v>
      </c>
      <c r="I38" s="4">
        <v>86.027500000000003</v>
      </c>
      <c r="K38" s="4">
        <v>58</v>
      </c>
      <c r="L38" s="4">
        <v>118.608</v>
      </c>
    </row>
    <row r="39" spans="5:12" x14ac:dyDescent="0.2">
      <c r="E39" s="4">
        <v>101</v>
      </c>
      <c r="F39" s="4">
        <v>114.843</v>
      </c>
      <c r="H39" s="4">
        <v>100</v>
      </c>
      <c r="I39" s="4">
        <v>92.953100000000006</v>
      </c>
      <c r="K39" s="4">
        <v>55</v>
      </c>
      <c r="L39" s="4">
        <v>142.98400000000001</v>
      </c>
    </row>
    <row r="40" spans="5:12" x14ac:dyDescent="0.2">
      <c r="E40" s="4">
        <v>100</v>
      </c>
      <c r="F40" s="4">
        <v>86.348200000000006</v>
      </c>
      <c r="H40" s="4">
        <v>100</v>
      </c>
      <c r="I40" s="4">
        <v>79.254099999999994</v>
      </c>
      <c r="K40" s="4">
        <v>55</v>
      </c>
      <c r="L40" s="4">
        <v>129.16499999999999</v>
      </c>
    </row>
    <row r="41" spans="5:12" x14ac:dyDescent="0.2">
      <c r="E41" s="4">
        <v>99</v>
      </c>
      <c r="F41" s="4">
        <v>113.649</v>
      </c>
      <c r="H41" s="4">
        <v>99</v>
      </c>
      <c r="I41" s="4">
        <v>87.912400000000005</v>
      </c>
      <c r="K41" s="4">
        <v>54</v>
      </c>
      <c r="L41" s="4">
        <v>142.79900000000001</v>
      </c>
    </row>
    <row r="42" spans="5:12" x14ac:dyDescent="0.2">
      <c r="E42" s="4">
        <v>99</v>
      </c>
      <c r="F42" s="4">
        <v>123.268</v>
      </c>
      <c r="H42" s="4">
        <v>99</v>
      </c>
      <c r="I42" s="4">
        <v>76.669300000000007</v>
      </c>
      <c r="K42" s="4">
        <v>53</v>
      </c>
      <c r="L42" s="4">
        <v>92.569900000000004</v>
      </c>
    </row>
    <row r="43" spans="5:12" x14ac:dyDescent="0.2">
      <c r="E43" s="4">
        <v>99</v>
      </c>
      <c r="F43" s="4">
        <v>108.15600000000001</v>
      </c>
      <c r="H43" s="4">
        <v>98</v>
      </c>
      <c r="I43" s="4">
        <v>81.146600000000007</v>
      </c>
      <c r="K43" s="4">
        <v>44</v>
      </c>
      <c r="L43" s="4">
        <v>143.911</v>
      </c>
    </row>
    <row r="44" spans="5:12" x14ac:dyDescent="0.2">
      <c r="E44" s="4">
        <v>99</v>
      </c>
      <c r="F44" s="4">
        <v>108.676</v>
      </c>
      <c r="H44" s="4">
        <v>97</v>
      </c>
      <c r="I44" s="4">
        <v>66.7012</v>
      </c>
      <c r="K44" s="4">
        <v>41</v>
      </c>
      <c r="L44" s="4">
        <v>122.773</v>
      </c>
    </row>
    <row r="45" spans="5:12" x14ac:dyDescent="0.2">
      <c r="E45" s="4">
        <v>99</v>
      </c>
      <c r="F45" s="4">
        <v>142.27799999999999</v>
      </c>
      <c r="H45" s="4">
        <v>96</v>
      </c>
      <c r="I45" s="4">
        <v>84.537000000000006</v>
      </c>
      <c r="K45" s="4">
        <v>41</v>
      </c>
      <c r="L45" s="4">
        <v>125.996</v>
      </c>
    </row>
    <row r="46" spans="5:12" x14ac:dyDescent="0.2">
      <c r="E46" s="4">
        <v>98</v>
      </c>
      <c r="F46" s="4">
        <v>141.363</v>
      </c>
      <c r="H46" s="4">
        <v>94</v>
      </c>
      <c r="I46" s="4">
        <v>81.2072</v>
      </c>
      <c r="K46" s="4">
        <v>33</v>
      </c>
      <c r="L46" s="4">
        <v>142.09399999999999</v>
      </c>
    </row>
    <row r="47" spans="5:12" x14ac:dyDescent="0.2">
      <c r="E47" s="4">
        <v>98</v>
      </c>
      <c r="F47" s="4">
        <v>127.949</v>
      </c>
      <c r="H47" s="4">
        <v>93</v>
      </c>
      <c r="I47" s="4">
        <v>77.910799999999995</v>
      </c>
      <c r="K47" s="4">
        <v>29</v>
      </c>
      <c r="L47" s="4">
        <v>91.814800000000005</v>
      </c>
    </row>
    <row r="48" spans="5:12" x14ac:dyDescent="0.2">
      <c r="E48" s="4">
        <v>97</v>
      </c>
      <c r="F48" s="4">
        <v>113.46899999999999</v>
      </c>
      <c r="H48" s="4">
        <v>90</v>
      </c>
      <c r="I48" s="4">
        <v>77.511700000000005</v>
      </c>
      <c r="K48" s="4">
        <v>28</v>
      </c>
      <c r="L48" s="4">
        <v>144.78800000000001</v>
      </c>
    </row>
    <row r="49" spans="5:12" x14ac:dyDescent="0.2">
      <c r="E49" s="4">
        <v>97</v>
      </c>
      <c r="F49" s="4">
        <v>96.4756</v>
      </c>
      <c r="H49" s="4">
        <v>89</v>
      </c>
      <c r="I49" s="4">
        <v>87.361400000000003</v>
      </c>
      <c r="K49" s="4">
        <v>26</v>
      </c>
      <c r="L49" s="4">
        <v>117.76300000000001</v>
      </c>
    </row>
    <row r="50" spans="5:12" x14ac:dyDescent="0.2">
      <c r="E50" s="4">
        <v>96</v>
      </c>
      <c r="F50" s="4">
        <v>114.511</v>
      </c>
      <c r="H50" s="4">
        <v>86</v>
      </c>
      <c r="I50" s="4">
        <v>71.194299999999998</v>
      </c>
      <c r="K50" s="4">
        <v>25</v>
      </c>
      <c r="L50" s="4">
        <v>113.803</v>
      </c>
    </row>
    <row r="51" spans="5:12" x14ac:dyDescent="0.2">
      <c r="E51" s="4">
        <v>92</v>
      </c>
      <c r="F51" s="4">
        <v>104.70699999999999</v>
      </c>
      <c r="H51" s="4">
        <v>86</v>
      </c>
      <c r="I51" s="4">
        <v>81.050600000000003</v>
      </c>
      <c r="K51" s="4">
        <v>23</v>
      </c>
      <c r="L51" s="4">
        <v>129.14500000000001</v>
      </c>
    </row>
    <row r="52" spans="5:12" x14ac:dyDescent="0.2">
      <c r="E52" s="4">
        <v>92</v>
      </c>
      <c r="F52" s="4">
        <v>125.82599999999999</v>
      </c>
      <c r="H52" s="4">
        <v>86</v>
      </c>
      <c r="I52" s="4">
        <v>81.879400000000004</v>
      </c>
      <c r="K52" s="4">
        <v>19</v>
      </c>
      <c r="L52" s="4">
        <v>91.409300000000002</v>
      </c>
    </row>
    <row r="53" spans="5:12" x14ac:dyDescent="0.2">
      <c r="E53" s="4">
        <v>92</v>
      </c>
      <c r="F53" s="4">
        <v>79.366299999999995</v>
      </c>
      <c r="H53" s="4">
        <v>85</v>
      </c>
      <c r="I53" s="4">
        <v>66.525099999999995</v>
      </c>
      <c r="K53" s="4">
        <v>18</v>
      </c>
      <c r="L53" s="4">
        <v>114.17400000000001</v>
      </c>
    </row>
    <row r="54" spans="5:12" x14ac:dyDescent="0.2">
      <c r="E54" s="4">
        <v>91</v>
      </c>
      <c r="F54" s="4">
        <v>135.43100000000001</v>
      </c>
      <c r="H54" s="4">
        <v>81</v>
      </c>
      <c r="I54" s="4">
        <v>51.940600000000003</v>
      </c>
      <c r="K54" s="4">
        <v>17</v>
      </c>
      <c r="L54" s="4">
        <v>138.28700000000001</v>
      </c>
    </row>
    <row r="55" spans="5:12" x14ac:dyDescent="0.2">
      <c r="E55" s="4">
        <v>88</v>
      </c>
      <c r="F55" s="4">
        <v>136.37100000000001</v>
      </c>
      <c r="H55" s="4">
        <v>81</v>
      </c>
      <c r="I55" s="4">
        <v>102.099</v>
      </c>
      <c r="K55" s="4">
        <v>17</v>
      </c>
      <c r="L55" s="4">
        <v>120.512</v>
      </c>
    </row>
    <row r="56" spans="5:12" x14ac:dyDescent="0.2">
      <c r="E56" s="4">
        <v>87</v>
      </c>
      <c r="F56" s="4">
        <v>107.934</v>
      </c>
      <c r="H56" s="4">
        <v>79</v>
      </c>
      <c r="I56" s="4">
        <v>102.852</v>
      </c>
      <c r="K56" s="4">
        <v>16</v>
      </c>
      <c r="L56" s="4">
        <v>124.43300000000001</v>
      </c>
    </row>
    <row r="57" spans="5:12" x14ac:dyDescent="0.2">
      <c r="E57" s="4">
        <v>87</v>
      </c>
      <c r="F57" s="4">
        <v>110.626</v>
      </c>
      <c r="H57" s="4">
        <v>72</v>
      </c>
      <c r="I57" s="4">
        <v>62.569299999999998</v>
      </c>
      <c r="K57" s="4">
        <v>16</v>
      </c>
      <c r="L57" s="4">
        <v>98.822900000000004</v>
      </c>
    </row>
    <row r="58" spans="5:12" x14ac:dyDescent="0.2">
      <c r="E58" s="4">
        <v>86</v>
      </c>
      <c r="F58" s="4">
        <v>106.723</v>
      </c>
      <c r="H58" s="4">
        <v>70</v>
      </c>
      <c r="I58" s="4">
        <v>101.07299999999999</v>
      </c>
      <c r="K58" s="4">
        <v>16</v>
      </c>
      <c r="L58" s="4">
        <v>144.50899999999999</v>
      </c>
    </row>
    <row r="59" spans="5:12" x14ac:dyDescent="0.2">
      <c r="E59" s="4">
        <v>86</v>
      </c>
      <c r="F59" s="4">
        <v>121.61199999999999</v>
      </c>
      <c r="H59" s="4">
        <v>63</v>
      </c>
      <c r="I59" s="4">
        <v>109.27</v>
      </c>
      <c r="K59" s="4">
        <v>16</v>
      </c>
      <c r="L59" s="4">
        <v>109.72</v>
      </c>
    </row>
    <row r="60" spans="5:12" x14ac:dyDescent="0.2">
      <c r="E60" s="4">
        <v>85</v>
      </c>
      <c r="F60" s="4">
        <v>140.559</v>
      </c>
      <c r="H60" s="4">
        <v>62</v>
      </c>
      <c r="I60" s="4">
        <v>109.621</v>
      </c>
      <c r="K60" s="4">
        <v>15</v>
      </c>
      <c r="L60" s="4">
        <v>123.336</v>
      </c>
    </row>
    <row r="61" spans="5:12" x14ac:dyDescent="0.2">
      <c r="E61" s="4">
        <v>84</v>
      </c>
      <c r="F61" s="4">
        <v>121.369</v>
      </c>
      <c r="H61" s="4">
        <v>58</v>
      </c>
      <c r="I61" s="4">
        <v>106.804</v>
      </c>
      <c r="K61" s="4">
        <v>13</v>
      </c>
      <c r="L61" s="4">
        <v>111.968</v>
      </c>
    </row>
    <row r="62" spans="5:12" x14ac:dyDescent="0.2">
      <c r="E62" s="4">
        <v>79</v>
      </c>
      <c r="F62" s="4">
        <v>102.21</v>
      </c>
      <c r="H62" s="4">
        <v>58</v>
      </c>
      <c r="I62" s="4">
        <v>108.236</v>
      </c>
      <c r="K62" s="4">
        <v>13</v>
      </c>
      <c r="L62" s="4">
        <v>126.68600000000001</v>
      </c>
    </row>
    <row r="63" spans="5:12" x14ac:dyDescent="0.2">
      <c r="E63" s="4">
        <v>76</v>
      </c>
      <c r="F63" s="4">
        <v>100.301</v>
      </c>
      <c r="H63" s="4">
        <v>57</v>
      </c>
      <c r="I63" s="4">
        <v>79.454599999999999</v>
      </c>
      <c r="K63" s="4">
        <v>13</v>
      </c>
      <c r="L63" s="4">
        <v>116.15900000000001</v>
      </c>
    </row>
    <row r="64" spans="5:12" x14ac:dyDescent="0.2">
      <c r="E64" s="4">
        <v>76</v>
      </c>
      <c r="F64" s="4">
        <v>115.502</v>
      </c>
      <c r="H64" s="4">
        <v>56</v>
      </c>
      <c r="I64" s="4">
        <v>61.675800000000002</v>
      </c>
      <c r="K64" s="4">
        <v>13</v>
      </c>
      <c r="L64" s="4">
        <v>90.851900000000001</v>
      </c>
    </row>
    <row r="65" spans="5:12" x14ac:dyDescent="0.2">
      <c r="E65" s="4">
        <v>74</v>
      </c>
      <c r="F65" s="4">
        <v>92.054000000000002</v>
      </c>
      <c r="H65" s="4">
        <v>55</v>
      </c>
      <c r="I65" s="4">
        <v>109.38200000000001</v>
      </c>
      <c r="K65" s="4">
        <v>11</v>
      </c>
      <c r="L65" s="4">
        <v>137.023</v>
      </c>
    </row>
    <row r="66" spans="5:12" x14ac:dyDescent="0.2">
      <c r="E66" s="4">
        <v>68</v>
      </c>
      <c r="F66" s="4">
        <v>107.04300000000001</v>
      </c>
      <c r="H66" s="4">
        <v>54</v>
      </c>
      <c r="I66" s="4">
        <v>68.466800000000006</v>
      </c>
      <c r="K66" s="4">
        <v>10</v>
      </c>
      <c r="L66" s="4">
        <v>141.489</v>
      </c>
    </row>
    <row r="67" spans="5:12" x14ac:dyDescent="0.2">
      <c r="E67" s="4">
        <v>68</v>
      </c>
      <c r="F67" s="4">
        <v>124.845</v>
      </c>
      <c r="H67" s="4">
        <v>53</v>
      </c>
      <c r="I67" s="4">
        <v>67.409199999999998</v>
      </c>
      <c r="K67" s="4">
        <v>9</v>
      </c>
      <c r="L67" s="4">
        <v>143.84399999999999</v>
      </c>
    </row>
    <row r="68" spans="5:12" x14ac:dyDescent="0.2">
      <c r="E68" s="4">
        <v>66</v>
      </c>
      <c r="F68" s="4">
        <v>106.27200000000001</v>
      </c>
      <c r="H68" s="4">
        <v>45</v>
      </c>
      <c r="I68" s="4">
        <v>60.177900000000001</v>
      </c>
      <c r="K68" s="4">
        <v>9</v>
      </c>
      <c r="L68" s="4">
        <v>123.474</v>
      </c>
    </row>
    <row r="69" spans="5:12" x14ac:dyDescent="0.2">
      <c r="E69" s="4">
        <v>65</v>
      </c>
      <c r="F69" s="4">
        <v>110.661</v>
      </c>
      <c r="H69" s="4">
        <v>44</v>
      </c>
      <c r="I69" s="4">
        <v>82.215800000000002</v>
      </c>
      <c r="K69" s="4">
        <v>9</v>
      </c>
      <c r="L69" s="4">
        <v>119.718</v>
      </c>
    </row>
    <row r="70" spans="5:12" x14ac:dyDescent="0.2">
      <c r="E70" s="4">
        <v>61</v>
      </c>
      <c r="F70" s="4">
        <v>125.84399999999999</v>
      </c>
      <c r="H70" s="4">
        <v>44</v>
      </c>
      <c r="I70" s="4">
        <v>59.976100000000002</v>
      </c>
      <c r="K70" s="4">
        <v>8</v>
      </c>
      <c r="L70" s="4">
        <v>120.983</v>
      </c>
    </row>
    <row r="71" spans="5:12" x14ac:dyDescent="0.2">
      <c r="E71" s="4">
        <v>61</v>
      </c>
      <c r="F71" s="4">
        <v>113.46599999999999</v>
      </c>
      <c r="H71" s="4">
        <v>44</v>
      </c>
      <c r="I71" s="4">
        <v>97.460099999999997</v>
      </c>
      <c r="K71" s="4">
        <v>8</v>
      </c>
      <c r="L71" s="4">
        <v>128.15799999999999</v>
      </c>
    </row>
    <row r="72" spans="5:12" x14ac:dyDescent="0.2">
      <c r="E72" s="4">
        <v>57</v>
      </c>
      <c r="F72" s="4">
        <v>111.093</v>
      </c>
      <c r="H72" s="4">
        <v>39</v>
      </c>
      <c r="I72" s="4">
        <v>61.657299999999999</v>
      </c>
      <c r="K72" s="4">
        <v>8</v>
      </c>
      <c r="L72" s="4">
        <v>142.982</v>
      </c>
    </row>
    <row r="73" spans="5:12" x14ac:dyDescent="0.2">
      <c r="E73" s="4">
        <v>54</v>
      </c>
      <c r="F73" s="4">
        <v>87.837199999999996</v>
      </c>
      <c r="H73" s="4">
        <v>33</v>
      </c>
      <c r="I73" s="4">
        <v>50.915999999999997</v>
      </c>
      <c r="K73" s="4">
        <v>7</v>
      </c>
      <c r="L73" s="4">
        <v>126.996</v>
      </c>
    </row>
    <row r="74" spans="5:12" x14ac:dyDescent="0.2">
      <c r="E74" s="4">
        <v>53</v>
      </c>
      <c r="F74" s="4">
        <v>83.835599999999999</v>
      </c>
      <c r="H74" s="4">
        <v>33</v>
      </c>
      <c r="I74" s="4">
        <v>90.163700000000006</v>
      </c>
      <c r="K74" s="4">
        <v>7</v>
      </c>
      <c r="L74" s="4">
        <v>107.22</v>
      </c>
    </row>
    <row r="75" spans="5:12" x14ac:dyDescent="0.2">
      <c r="E75" s="4">
        <v>50</v>
      </c>
      <c r="F75" s="4">
        <v>89.232600000000005</v>
      </c>
      <c r="H75" s="4">
        <v>31</v>
      </c>
      <c r="I75" s="4">
        <v>79.199700000000007</v>
      </c>
      <c r="K75" s="4">
        <v>7</v>
      </c>
      <c r="L75" s="4">
        <v>130.91300000000001</v>
      </c>
    </row>
    <row r="76" spans="5:12" x14ac:dyDescent="0.2">
      <c r="E76" s="4">
        <v>49</v>
      </c>
      <c r="F76" s="4">
        <v>79.748000000000005</v>
      </c>
      <c r="H76" s="4">
        <v>31</v>
      </c>
      <c r="I76" s="4">
        <v>69.873400000000004</v>
      </c>
      <c r="K76" s="4">
        <v>7</v>
      </c>
      <c r="L76" s="4">
        <v>116.233</v>
      </c>
    </row>
    <row r="77" spans="5:12" x14ac:dyDescent="0.2">
      <c r="E77" s="4">
        <v>49</v>
      </c>
      <c r="F77" s="4">
        <v>106.259</v>
      </c>
      <c r="H77" s="4">
        <v>30</v>
      </c>
      <c r="I77" s="4">
        <v>99.636200000000002</v>
      </c>
      <c r="K77" s="4">
        <v>7</v>
      </c>
      <c r="L77" s="4">
        <v>144.334</v>
      </c>
    </row>
    <row r="78" spans="5:12" x14ac:dyDescent="0.2">
      <c r="E78" s="4">
        <v>47</v>
      </c>
      <c r="F78" s="4">
        <v>107.04900000000001</v>
      </c>
      <c r="H78" s="4">
        <v>26</v>
      </c>
      <c r="I78" s="4">
        <v>76.366100000000003</v>
      </c>
      <c r="K78" s="4">
        <v>6</v>
      </c>
      <c r="L78" s="4">
        <v>117.092</v>
      </c>
    </row>
    <row r="79" spans="5:12" x14ac:dyDescent="0.2">
      <c r="E79" s="4">
        <v>46</v>
      </c>
      <c r="F79" s="4">
        <v>108.733</v>
      </c>
      <c r="H79" s="4">
        <v>26</v>
      </c>
      <c r="I79" s="4">
        <v>60.089799999999997</v>
      </c>
      <c r="K79" s="4">
        <v>6</v>
      </c>
      <c r="L79" s="4">
        <v>144.815</v>
      </c>
    </row>
    <row r="80" spans="5:12" x14ac:dyDescent="0.2">
      <c r="E80" s="4">
        <v>44</v>
      </c>
      <c r="F80" s="4">
        <v>143.02699999999999</v>
      </c>
      <c r="H80" s="4">
        <v>25</v>
      </c>
      <c r="I80" s="4">
        <v>64.008200000000002</v>
      </c>
      <c r="K80" s="4">
        <v>6</v>
      </c>
      <c r="L80" s="4">
        <v>112.383</v>
      </c>
    </row>
    <row r="81" spans="5:12" x14ac:dyDescent="0.2">
      <c r="E81" s="4">
        <v>43</v>
      </c>
      <c r="F81" s="4">
        <v>143.05500000000001</v>
      </c>
      <c r="H81" s="4">
        <v>25</v>
      </c>
      <c r="I81" s="4">
        <v>98.228300000000004</v>
      </c>
      <c r="K81" s="4">
        <v>6</v>
      </c>
      <c r="L81" s="4">
        <v>91.495999999999995</v>
      </c>
    </row>
    <row r="82" spans="5:12" x14ac:dyDescent="0.2">
      <c r="E82" s="4">
        <v>40</v>
      </c>
      <c r="F82" s="4">
        <v>119.23</v>
      </c>
      <c r="H82" s="4">
        <v>23</v>
      </c>
      <c r="I82" s="4">
        <v>71.550299999999993</v>
      </c>
      <c r="K82" s="4">
        <v>6</v>
      </c>
      <c r="L82" s="4">
        <v>101.798</v>
      </c>
    </row>
    <row r="83" spans="5:12" x14ac:dyDescent="0.2">
      <c r="E83" s="4">
        <v>40</v>
      </c>
      <c r="F83" s="4">
        <v>115.36</v>
      </c>
      <c r="H83" s="4">
        <v>23</v>
      </c>
      <c r="I83" s="4">
        <v>104.123</v>
      </c>
      <c r="K83" s="4">
        <v>5</v>
      </c>
      <c r="L83" s="4">
        <v>141.66999999999999</v>
      </c>
    </row>
    <row r="84" spans="5:12" x14ac:dyDescent="0.2">
      <c r="E84" s="4">
        <v>38</v>
      </c>
      <c r="F84" s="4">
        <v>96.9833</v>
      </c>
      <c r="H84" s="4">
        <v>22</v>
      </c>
      <c r="I84" s="4">
        <v>64.122500000000002</v>
      </c>
      <c r="K84" s="4">
        <v>5</v>
      </c>
      <c r="L84" s="4">
        <v>143.779</v>
      </c>
    </row>
    <row r="85" spans="5:12" x14ac:dyDescent="0.2">
      <c r="E85" s="4">
        <v>37</v>
      </c>
      <c r="F85" s="4">
        <v>85.190799999999996</v>
      </c>
      <c r="H85" s="4">
        <v>21</v>
      </c>
      <c r="I85" s="4">
        <v>81.148499999999999</v>
      </c>
      <c r="K85" s="4">
        <v>5</v>
      </c>
      <c r="L85" s="4">
        <v>114.741</v>
      </c>
    </row>
    <row r="86" spans="5:12" x14ac:dyDescent="0.2">
      <c r="E86" s="4">
        <v>36</v>
      </c>
      <c r="F86" s="4">
        <v>85.262299999999996</v>
      </c>
      <c r="H86" s="4">
        <v>21</v>
      </c>
      <c r="I86" s="4">
        <v>60.4084</v>
      </c>
      <c r="K86" s="4">
        <v>5</v>
      </c>
      <c r="L86" s="4">
        <v>114.14700000000001</v>
      </c>
    </row>
    <row r="87" spans="5:12" x14ac:dyDescent="0.2">
      <c r="E87" s="4">
        <v>30</v>
      </c>
      <c r="F87" s="4">
        <v>124.288</v>
      </c>
      <c r="H87" s="4">
        <v>20</v>
      </c>
      <c r="I87" s="4">
        <v>110.68899999999999</v>
      </c>
      <c r="K87" s="4">
        <v>5</v>
      </c>
      <c r="L87" s="4">
        <v>145.28200000000001</v>
      </c>
    </row>
    <row r="88" spans="5:12" x14ac:dyDescent="0.2">
      <c r="E88" s="4">
        <v>27</v>
      </c>
      <c r="F88" s="4">
        <v>129.61500000000001</v>
      </c>
      <c r="H88" s="4">
        <v>19</v>
      </c>
      <c r="I88" s="4">
        <v>95.192400000000006</v>
      </c>
      <c r="K88" s="4">
        <v>5</v>
      </c>
      <c r="L88" s="4">
        <v>141.13999999999999</v>
      </c>
    </row>
    <row r="89" spans="5:12" x14ac:dyDescent="0.2">
      <c r="E89" s="4">
        <v>26</v>
      </c>
      <c r="F89" s="4">
        <v>124.96599999999999</v>
      </c>
      <c r="H89" s="4">
        <v>18</v>
      </c>
      <c r="I89" s="4">
        <v>91.154600000000002</v>
      </c>
      <c r="K89" s="4">
        <v>5</v>
      </c>
      <c r="L89" s="4">
        <v>109.071</v>
      </c>
    </row>
    <row r="90" spans="5:12" x14ac:dyDescent="0.2">
      <c r="E90" s="4">
        <v>23</v>
      </c>
      <c r="F90" s="4">
        <v>110.779</v>
      </c>
      <c r="H90" s="4">
        <v>18</v>
      </c>
      <c r="I90" s="4">
        <v>98.311599999999999</v>
      </c>
      <c r="K90" s="4">
        <v>5</v>
      </c>
      <c r="L90" s="4">
        <v>109.41500000000001</v>
      </c>
    </row>
    <row r="91" spans="5:12" x14ac:dyDescent="0.2">
      <c r="E91" s="4">
        <v>23</v>
      </c>
      <c r="F91" s="4">
        <v>144.97</v>
      </c>
      <c r="H91" s="4">
        <v>17</v>
      </c>
      <c r="I91" s="4">
        <v>79.216700000000003</v>
      </c>
      <c r="K91" s="4">
        <v>5</v>
      </c>
      <c r="L91" s="4">
        <v>104.979</v>
      </c>
    </row>
    <row r="92" spans="5:12" x14ac:dyDescent="0.2">
      <c r="E92" s="4">
        <v>21</v>
      </c>
      <c r="F92" s="4">
        <v>104.886</v>
      </c>
      <c r="H92" s="4">
        <v>17</v>
      </c>
      <c r="I92" s="4">
        <v>107.277</v>
      </c>
      <c r="K92" s="4">
        <v>5</v>
      </c>
      <c r="L92" s="4">
        <v>122</v>
      </c>
    </row>
    <row r="93" spans="5:12" x14ac:dyDescent="0.2">
      <c r="E93" s="4">
        <v>20</v>
      </c>
      <c r="F93" s="4">
        <v>108.889</v>
      </c>
      <c r="H93" s="4">
        <v>16</v>
      </c>
      <c r="I93" s="4">
        <v>61.9861</v>
      </c>
      <c r="K93" s="4">
        <v>5</v>
      </c>
      <c r="L93" s="4">
        <v>104.785</v>
      </c>
    </row>
    <row r="94" spans="5:12" x14ac:dyDescent="0.2">
      <c r="E94" s="4">
        <v>20</v>
      </c>
      <c r="F94" s="4">
        <v>145.15899999999999</v>
      </c>
      <c r="H94" s="4">
        <v>16</v>
      </c>
      <c r="I94" s="4">
        <v>84.964500000000001</v>
      </c>
      <c r="K94" s="4">
        <v>5</v>
      </c>
      <c r="L94" s="4">
        <v>122.81399999999999</v>
      </c>
    </row>
    <row r="95" spans="5:12" x14ac:dyDescent="0.2">
      <c r="E95" s="4">
        <v>19</v>
      </c>
      <c r="F95" s="4">
        <v>145.13200000000001</v>
      </c>
      <c r="H95" s="4">
        <v>16</v>
      </c>
      <c r="I95" s="4">
        <v>66.5398</v>
      </c>
    </row>
    <row r="96" spans="5:12" x14ac:dyDescent="0.2">
      <c r="E96" s="4">
        <v>18</v>
      </c>
      <c r="F96" s="4">
        <v>106.471</v>
      </c>
      <c r="H96" s="4">
        <v>16</v>
      </c>
      <c r="I96" s="4">
        <v>110.673</v>
      </c>
    </row>
    <row r="97" spans="5:9" x14ac:dyDescent="0.2">
      <c r="E97" s="4">
        <v>18</v>
      </c>
      <c r="F97" s="4">
        <v>124.63800000000001</v>
      </c>
      <c r="H97" s="4">
        <v>16</v>
      </c>
      <c r="I97" s="4">
        <v>60.685899999999997</v>
      </c>
    </row>
    <row r="98" spans="5:9" x14ac:dyDescent="0.2">
      <c r="E98" s="4">
        <v>16</v>
      </c>
      <c r="F98" s="4">
        <v>100.986</v>
      </c>
      <c r="H98" s="4">
        <v>16</v>
      </c>
      <c r="I98" s="4">
        <v>76.896100000000004</v>
      </c>
    </row>
    <row r="99" spans="5:9" x14ac:dyDescent="0.2">
      <c r="E99" s="4">
        <v>15</v>
      </c>
      <c r="F99" s="4">
        <v>139.34700000000001</v>
      </c>
      <c r="H99" s="4">
        <v>15</v>
      </c>
      <c r="I99" s="4">
        <v>77.927499999999995</v>
      </c>
    </row>
    <row r="100" spans="5:9" x14ac:dyDescent="0.2">
      <c r="E100" s="4">
        <v>15</v>
      </c>
      <c r="F100" s="4">
        <v>129.739</v>
      </c>
      <c r="H100" s="4">
        <v>15</v>
      </c>
      <c r="I100" s="4">
        <v>83.121200000000002</v>
      </c>
    </row>
    <row r="101" spans="5:9" x14ac:dyDescent="0.2">
      <c r="E101" s="4">
        <v>14</v>
      </c>
      <c r="F101" s="4">
        <v>135.511</v>
      </c>
      <c r="H101" s="4">
        <v>15</v>
      </c>
      <c r="I101" s="4">
        <v>65.6143</v>
      </c>
    </row>
    <row r="102" spans="5:9" x14ac:dyDescent="0.2">
      <c r="E102" s="4">
        <v>14</v>
      </c>
      <c r="F102" s="4">
        <v>104.246</v>
      </c>
      <c r="H102" s="4">
        <v>15</v>
      </c>
      <c r="I102" s="4">
        <v>108.851</v>
      </c>
    </row>
    <row r="103" spans="5:9" x14ac:dyDescent="0.2">
      <c r="E103" s="4">
        <v>13</v>
      </c>
      <c r="F103" s="4">
        <v>101.631</v>
      </c>
      <c r="H103" s="4">
        <v>15</v>
      </c>
      <c r="I103" s="4">
        <v>109.613</v>
      </c>
    </row>
    <row r="104" spans="5:9" x14ac:dyDescent="0.2">
      <c r="E104" s="4">
        <v>13</v>
      </c>
      <c r="F104" s="4">
        <v>128.072</v>
      </c>
      <c r="H104" s="4">
        <v>14</v>
      </c>
      <c r="I104" s="4">
        <v>101.458</v>
      </c>
    </row>
    <row r="105" spans="5:9" x14ac:dyDescent="0.2">
      <c r="E105" s="4">
        <v>13</v>
      </c>
      <c r="F105" s="4">
        <v>85.601799999999997</v>
      </c>
      <c r="H105" s="4">
        <v>14</v>
      </c>
      <c r="I105" s="4">
        <v>78.048100000000005</v>
      </c>
    </row>
    <row r="106" spans="5:9" x14ac:dyDescent="0.2">
      <c r="E106" s="4">
        <v>12</v>
      </c>
      <c r="F106" s="4">
        <v>118.398</v>
      </c>
      <c r="H106" s="4">
        <v>14</v>
      </c>
      <c r="I106" s="4">
        <v>75.917500000000004</v>
      </c>
    </row>
    <row r="107" spans="5:9" x14ac:dyDescent="0.2">
      <c r="E107" s="4">
        <v>12</v>
      </c>
      <c r="F107" s="4">
        <v>102.562</v>
      </c>
      <c r="H107" s="4">
        <v>13</v>
      </c>
      <c r="I107" s="4">
        <v>106.482</v>
      </c>
    </row>
    <row r="108" spans="5:9" x14ac:dyDescent="0.2">
      <c r="E108" s="4">
        <v>11</v>
      </c>
      <c r="F108" s="4">
        <v>76.581599999999995</v>
      </c>
      <c r="H108" s="4">
        <v>13</v>
      </c>
      <c r="I108" s="4">
        <v>106.342</v>
      </c>
    </row>
    <row r="109" spans="5:9" x14ac:dyDescent="0.2">
      <c r="E109" s="4">
        <v>10</v>
      </c>
      <c r="F109" s="4">
        <v>101.009</v>
      </c>
      <c r="H109" s="4">
        <v>12</v>
      </c>
      <c r="I109" s="4">
        <v>61.709800000000001</v>
      </c>
    </row>
    <row r="110" spans="5:9" x14ac:dyDescent="0.2">
      <c r="E110" s="4">
        <v>9</v>
      </c>
      <c r="F110" s="4">
        <v>130.38200000000001</v>
      </c>
      <c r="H110" s="4">
        <v>12</v>
      </c>
      <c r="I110" s="4">
        <v>99.653300000000002</v>
      </c>
    </row>
    <row r="111" spans="5:9" x14ac:dyDescent="0.2">
      <c r="E111" s="4">
        <v>9</v>
      </c>
      <c r="F111" s="4">
        <v>112.833</v>
      </c>
      <c r="H111" s="4">
        <v>12</v>
      </c>
      <c r="I111" s="4">
        <v>86.912099999999995</v>
      </c>
    </row>
    <row r="112" spans="5:9" x14ac:dyDescent="0.2">
      <c r="E112" s="4">
        <v>9</v>
      </c>
      <c r="F112" s="4">
        <v>103.33199999999999</v>
      </c>
      <c r="H112" s="4">
        <v>11</v>
      </c>
      <c r="I112" s="4">
        <v>109.645</v>
      </c>
    </row>
    <row r="113" spans="5:9" x14ac:dyDescent="0.2">
      <c r="E113" s="4">
        <v>9</v>
      </c>
      <c r="F113" s="4">
        <v>139.65700000000001</v>
      </c>
      <c r="H113" s="4">
        <v>11</v>
      </c>
      <c r="I113" s="4">
        <v>80.677400000000006</v>
      </c>
    </row>
    <row r="114" spans="5:9" x14ac:dyDescent="0.2">
      <c r="E114" s="4">
        <v>8</v>
      </c>
      <c r="F114" s="4">
        <v>119.09399999999999</v>
      </c>
      <c r="H114" s="4">
        <v>10</v>
      </c>
      <c r="I114" s="4">
        <v>107.559</v>
      </c>
    </row>
    <row r="115" spans="5:9" x14ac:dyDescent="0.2">
      <c r="E115" s="4">
        <v>8</v>
      </c>
      <c r="F115" s="4">
        <v>127.004</v>
      </c>
      <c r="H115" s="4">
        <v>10</v>
      </c>
      <c r="I115" s="4">
        <v>83.828199999999995</v>
      </c>
    </row>
    <row r="116" spans="5:9" x14ac:dyDescent="0.2">
      <c r="E116" s="4">
        <v>8</v>
      </c>
      <c r="F116" s="4">
        <v>138.12299999999999</v>
      </c>
      <c r="H116" s="4">
        <v>10</v>
      </c>
      <c r="I116" s="4">
        <v>68.982699999999994</v>
      </c>
    </row>
    <row r="117" spans="5:9" x14ac:dyDescent="0.2">
      <c r="E117" s="4">
        <v>8</v>
      </c>
      <c r="F117" s="4">
        <v>103.964</v>
      </c>
      <c r="H117" s="4">
        <v>10</v>
      </c>
      <c r="I117" s="4">
        <v>62.773299999999999</v>
      </c>
    </row>
    <row r="118" spans="5:9" x14ac:dyDescent="0.2">
      <c r="E118" s="4">
        <v>8</v>
      </c>
      <c r="F118" s="4">
        <v>130.58799999999999</v>
      </c>
      <c r="H118" s="4">
        <v>10</v>
      </c>
      <c r="I118" s="4">
        <v>80.680700000000002</v>
      </c>
    </row>
    <row r="119" spans="5:9" x14ac:dyDescent="0.2">
      <c r="E119" s="4">
        <v>8</v>
      </c>
      <c r="F119" s="4">
        <v>143.102</v>
      </c>
      <c r="H119" s="4">
        <v>9</v>
      </c>
      <c r="I119" s="4">
        <v>93.061999999999998</v>
      </c>
    </row>
    <row r="120" spans="5:9" x14ac:dyDescent="0.2">
      <c r="E120" s="4">
        <v>8</v>
      </c>
      <c r="F120" s="4">
        <v>131.53899999999999</v>
      </c>
      <c r="H120" s="4">
        <v>8</v>
      </c>
      <c r="I120" s="4">
        <v>77.020700000000005</v>
      </c>
    </row>
    <row r="121" spans="5:9" x14ac:dyDescent="0.2">
      <c r="E121" s="4">
        <v>7</v>
      </c>
      <c r="F121" s="4">
        <v>93.081199999999995</v>
      </c>
      <c r="H121" s="4">
        <v>7</v>
      </c>
      <c r="I121" s="4">
        <v>99.918300000000002</v>
      </c>
    </row>
    <row r="122" spans="5:9" x14ac:dyDescent="0.2">
      <c r="E122" s="4">
        <v>7</v>
      </c>
      <c r="F122" s="4">
        <v>127.81699999999999</v>
      </c>
      <c r="H122" s="4">
        <v>7</v>
      </c>
      <c r="I122" s="4">
        <v>85.798599999999993</v>
      </c>
    </row>
    <row r="123" spans="5:9" x14ac:dyDescent="0.2">
      <c r="E123" s="4">
        <v>7</v>
      </c>
      <c r="F123" s="4">
        <v>143.64400000000001</v>
      </c>
      <c r="H123" s="4">
        <v>7</v>
      </c>
      <c r="I123" s="4">
        <v>64.935100000000006</v>
      </c>
    </row>
    <row r="124" spans="5:9" x14ac:dyDescent="0.2">
      <c r="E124" s="4">
        <v>7</v>
      </c>
      <c r="F124" s="4">
        <v>118.09099999999999</v>
      </c>
      <c r="H124" s="4">
        <v>7</v>
      </c>
      <c r="I124" s="4">
        <v>101.434</v>
      </c>
    </row>
    <row r="125" spans="5:9" x14ac:dyDescent="0.2">
      <c r="E125" s="4">
        <v>6</v>
      </c>
      <c r="F125" s="4">
        <v>105.604</v>
      </c>
      <c r="H125" s="4">
        <v>7</v>
      </c>
      <c r="I125" s="4">
        <v>88.105500000000006</v>
      </c>
    </row>
    <row r="126" spans="5:9" x14ac:dyDescent="0.2">
      <c r="E126" s="4">
        <v>6</v>
      </c>
      <c r="F126" s="4">
        <v>110.133</v>
      </c>
      <c r="H126" s="4">
        <v>7</v>
      </c>
      <c r="I126" s="4">
        <v>89.538499999999999</v>
      </c>
    </row>
    <row r="127" spans="5:9" x14ac:dyDescent="0.2">
      <c r="E127" s="4">
        <v>6</v>
      </c>
      <c r="F127" s="4">
        <v>106.315</v>
      </c>
      <c r="H127" s="4">
        <v>7</v>
      </c>
      <c r="I127" s="4">
        <v>108.794</v>
      </c>
    </row>
    <row r="128" spans="5:9" x14ac:dyDescent="0.2">
      <c r="E128" s="4">
        <v>6</v>
      </c>
      <c r="F128" s="4">
        <v>86.687299999999993</v>
      </c>
      <c r="H128" s="4">
        <v>7</v>
      </c>
      <c r="I128" s="4">
        <v>87.901200000000003</v>
      </c>
    </row>
    <row r="129" spans="5:9" x14ac:dyDescent="0.2">
      <c r="E129" s="4">
        <v>6</v>
      </c>
      <c r="F129" s="4">
        <v>91.795000000000002</v>
      </c>
      <c r="H129" s="4">
        <v>7</v>
      </c>
      <c r="I129" s="4">
        <v>68.088300000000004</v>
      </c>
    </row>
    <row r="130" spans="5:9" x14ac:dyDescent="0.2">
      <c r="E130" s="4">
        <v>6</v>
      </c>
      <c r="F130" s="4">
        <v>99.135499999999993</v>
      </c>
      <c r="H130" s="4">
        <v>7</v>
      </c>
      <c r="I130" s="4">
        <v>79.283699999999996</v>
      </c>
    </row>
    <row r="131" spans="5:9" x14ac:dyDescent="0.2">
      <c r="E131" s="4">
        <v>6</v>
      </c>
      <c r="F131" s="4">
        <v>135.25700000000001</v>
      </c>
      <c r="H131" s="4">
        <v>6</v>
      </c>
      <c r="I131" s="4">
        <v>102.291</v>
      </c>
    </row>
    <row r="132" spans="5:9" x14ac:dyDescent="0.2">
      <c r="E132" s="4">
        <v>6</v>
      </c>
      <c r="F132" s="4">
        <v>110.749</v>
      </c>
      <c r="H132" s="4">
        <v>6</v>
      </c>
      <c r="I132" s="4">
        <v>109.798</v>
      </c>
    </row>
    <row r="133" spans="5:9" x14ac:dyDescent="0.2">
      <c r="E133" s="4">
        <v>6</v>
      </c>
      <c r="F133" s="4">
        <v>125.69</v>
      </c>
      <c r="H133" s="4">
        <v>6</v>
      </c>
      <c r="I133" s="4">
        <v>75.947599999999994</v>
      </c>
    </row>
    <row r="134" spans="5:9" x14ac:dyDescent="0.2">
      <c r="E134" s="4">
        <v>6</v>
      </c>
      <c r="F134" s="4">
        <v>113.884</v>
      </c>
      <c r="H134" s="4">
        <v>6</v>
      </c>
      <c r="I134" s="4">
        <v>86.421199999999999</v>
      </c>
    </row>
    <row r="135" spans="5:9" x14ac:dyDescent="0.2">
      <c r="E135" s="4">
        <v>6</v>
      </c>
      <c r="F135" s="4">
        <v>110.563</v>
      </c>
      <c r="H135" s="4">
        <v>6</v>
      </c>
      <c r="I135" s="4">
        <v>53.327800000000003</v>
      </c>
    </row>
    <row r="136" spans="5:9" x14ac:dyDescent="0.2">
      <c r="E136" s="4">
        <v>6</v>
      </c>
      <c r="F136" s="4">
        <v>88.5946</v>
      </c>
      <c r="H136" s="4">
        <v>6</v>
      </c>
      <c r="I136" s="4">
        <v>70.174999999999997</v>
      </c>
    </row>
    <row r="137" spans="5:9" x14ac:dyDescent="0.2">
      <c r="E137" s="4">
        <v>6</v>
      </c>
      <c r="F137" s="4">
        <v>109.16500000000001</v>
      </c>
      <c r="H137" s="4">
        <v>6</v>
      </c>
      <c r="I137" s="4">
        <v>74.004300000000001</v>
      </c>
    </row>
    <row r="138" spans="5:9" x14ac:dyDescent="0.2">
      <c r="E138" s="4">
        <v>6</v>
      </c>
      <c r="F138" s="4">
        <v>79.814899999999994</v>
      </c>
      <c r="H138" s="4">
        <v>6</v>
      </c>
      <c r="I138" s="4">
        <v>85.632900000000006</v>
      </c>
    </row>
    <row r="139" spans="5:9" x14ac:dyDescent="0.2">
      <c r="E139" s="4">
        <v>6</v>
      </c>
      <c r="F139" s="4">
        <v>118.94799999999999</v>
      </c>
      <c r="H139" s="4">
        <v>6</v>
      </c>
      <c r="I139" s="4">
        <v>97.511399999999995</v>
      </c>
    </row>
    <row r="140" spans="5:9" x14ac:dyDescent="0.2">
      <c r="E140" s="4">
        <v>6</v>
      </c>
      <c r="F140" s="4">
        <v>88.955500000000001</v>
      </c>
      <c r="H140" s="4">
        <v>6</v>
      </c>
      <c r="I140" s="4">
        <v>92.039100000000005</v>
      </c>
    </row>
    <row r="141" spans="5:9" x14ac:dyDescent="0.2">
      <c r="E141" s="4">
        <v>6</v>
      </c>
      <c r="F141" s="4">
        <v>92.049400000000006</v>
      </c>
      <c r="H141" s="4">
        <v>6</v>
      </c>
      <c r="I141" s="4">
        <v>87.311499999999995</v>
      </c>
    </row>
    <row r="142" spans="5:9" x14ac:dyDescent="0.2">
      <c r="E142" s="4">
        <v>6</v>
      </c>
      <c r="F142" s="4">
        <v>122.06</v>
      </c>
      <c r="H142" s="4">
        <v>6</v>
      </c>
      <c r="I142" s="4">
        <v>107.214</v>
      </c>
    </row>
    <row r="143" spans="5:9" x14ac:dyDescent="0.2">
      <c r="E143" s="4">
        <v>6</v>
      </c>
      <c r="F143" s="4">
        <v>96.704700000000003</v>
      </c>
      <c r="H143" s="4">
        <v>6</v>
      </c>
      <c r="I143" s="4">
        <v>78.099000000000004</v>
      </c>
    </row>
    <row r="144" spans="5:9" x14ac:dyDescent="0.2">
      <c r="E144" s="4">
        <v>6</v>
      </c>
      <c r="F144" s="4">
        <v>114.79600000000001</v>
      </c>
      <c r="H144" s="4">
        <v>6</v>
      </c>
      <c r="I144" s="4">
        <v>89.128699999999995</v>
      </c>
    </row>
    <row r="145" spans="5:9" x14ac:dyDescent="0.2">
      <c r="E145" s="4">
        <v>5</v>
      </c>
      <c r="F145" s="4">
        <v>145.744</v>
      </c>
      <c r="H145" s="4">
        <v>6</v>
      </c>
      <c r="I145" s="4">
        <v>80.813100000000006</v>
      </c>
    </row>
    <row r="146" spans="5:9" x14ac:dyDescent="0.2">
      <c r="E146" s="4">
        <v>5</v>
      </c>
      <c r="F146" s="4">
        <v>142.816</v>
      </c>
      <c r="H146" s="4">
        <v>6</v>
      </c>
      <c r="I146" s="4">
        <v>78.244200000000006</v>
      </c>
    </row>
    <row r="147" spans="5:9" x14ac:dyDescent="0.2">
      <c r="E147" s="4">
        <v>5</v>
      </c>
      <c r="F147" s="4">
        <v>121.916</v>
      </c>
      <c r="H147" s="4">
        <v>6</v>
      </c>
      <c r="I147" s="4">
        <v>81.783500000000004</v>
      </c>
    </row>
    <row r="148" spans="5:9" x14ac:dyDescent="0.2">
      <c r="E148" s="4">
        <v>5</v>
      </c>
      <c r="F148" s="4">
        <v>106.652</v>
      </c>
      <c r="H148" s="4">
        <v>6</v>
      </c>
      <c r="I148" s="4">
        <v>71.458100000000002</v>
      </c>
    </row>
    <row r="149" spans="5:9" x14ac:dyDescent="0.2">
      <c r="E149" s="4">
        <v>5</v>
      </c>
      <c r="F149" s="4">
        <v>114.20399999999999</v>
      </c>
      <c r="H149" s="4">
        <v>6</v>
      </c>
      <c r="I149" s="4">
        <v>70.801299999999998</v>
      </c>
    </row>
    <row r="150" spans="5:9" x14ac:dyDescent="0.2">
      <c r="E150" s="4">
        <v>5</v>
      </c>
      <c r="F150" s="4">
        <v>97.391099999999994</v>
      </c>
      <c r="H150" s="4">
        <v>6</v>
      </c>
      <c r="I150" s="4">
        <v>78.945700000000002</v>
      </c>
    </row>
    <row r="151" spans="5:9" x14ac:dyDescent="0.2">
      <c r="E151" s="4">
        <v>5</v>
      </c>
      <c r="F151" s="4">
        <v>88.909499999999994</v>
      </c>
      <c r="H151" s="4">
        <v>6</v>
      </c>
      <c r="I151" s="4">
        <v>92.032300000000006</v>
      </c>
    </row>
    <row r="152" spans="5:9" x14ac:dyDescent="0.2">
      <c r="E152" s="4">
        <v>5</v>
      </c>
      <c r="F152" s="4">
        <v>110.73099999999999</v>
      </c>
      <c r="H152" s="4">
        <v>5</v>
      </c>
      <c r="I152" s="4">
        <v>103.494</v>
      </c>
    </row>
    <row r="153" spans="5:9" x14ac:dyDescent="0.2">
      <c r="E153" s="4">
        <v>5</v>
      </c>
      <c r="F153" s="4">
        <v>81.937600000000003</v>
      </c>
      <c r="H153" s="4">
        <v>5</v>
      </c>
      <c r="I153" s="4">
        <v>103.215</v>
      </c>
    </row>
    <row r="154" spans="5:9" x14ac:dyDescent="0.2">
      <c r="E154" s="4">
        <v>5</v>
      </c>
      <c r="F154" s="4">
        <v>90.937799999999996</v>
      </c>
      <c r="H154" s="4">
        <v>5</v>
      </c>
      <c r="I154" s="4">
        <v>104.777</v>
      </c>
    </row>
    <row r="155" spans="5:9" x14ac:dyDescent="0.2">
      <c r="E155" s="4">
        <v>5</v>
      </c>
      <c r="F155" s="4">
        <v>104.577</v>
      </c>
      <c r="H155" s="4">
        <v>5</v>
      </c>
      <c r="I155" s="4">
        <v>98.827500000000001</v>
      </c>
    </row>
    <row r="156" spans="5:9" x14ac:dyDescent="0.2">
      <c r="E156" s="4">
        <v>5</v>
      </c>
      <c r="F156" s="4">
        <v>124.459</v>
      </c>
      <c r="H156" s="4">
        <v>5</v>
      </c>
      <c r="I156" s="4">
        <v>63.879199999999997</v>
      </c>
    </row>
    <row r="157" spans="5:9" x14ac:dyDescent="0.2">
      <c r="E157" s="4">
        <v>5</v>
      </c>
      <c r="F157" s="4">
        <v>120.94</v>
      </c>
      <c r="H157" s="4">
        <v>5</v>
      </c>
      <c r="I157" s="4">
        <v>87.759900000000002</v>
      </c>
    </row>
    <row r="158" spans="5:9" x14ac:dyDescent="0.2">
      <c r="E158" s="4">
        <v>5</v>
      </c>
      <c r="F158" s="4">
        <v>129.80500000000001</v>
      </c>
      <c r="H158" s="4">
        <v>5</v>
      </c>
      <c r="I158" s="4">
        <v>71.908900000000003</v>
      </c>
    </row>
    <row r="159" spans="5:9" x14ac:dyDescent="0.2">
      <c r="E159" s="4">
        <v>5</v>
      </c>
      <c r="F159" s="4">
        <v>95.348399999999998</v>
      </c>
      <c r="H159" s="4">
        <v>5</v>
      </c>
      <c r="I159" s="4">
        <v>81.051599999999993</v>
      </c>
    </row>
    <row r="160" spans="5:9" x14ac:dyDescent="0.2">
      <c r="E160" s="4">
        <v>5</v>
      </c>
      <c r="F160" s="4">
        <v>118.628</v>
      </c>
      <c r="H160" s="4">
        <v>5</v>
      </c>
      <c r="I160" s="4">
        <v>90.927300000000002</v>
      </c>
    </row>
    <row r="161" spans="5:9" x14ac:dyDescent="0.2">
      <c r="E161" s="4">
        <v>5</v>
      </c>
      <c r="F161" s="4">
        <v>132.61500000000001</v>
      </c>
      <c r="H161" s="4">
        <v>5</v>
      </c>
      <c r="I161" s="4">
        <v>63.268000000000001</v>
      </c>
    </row>
    <row r="162" spans="5:9" x14ac:dyDescent="0.2">
      <c r="E162" s="4">
        <v>5</v>
      </c>
      <c r="F162" s="4">
        <v>112.623</v>
      </c>
      <c r="H162" s="4">
        <v>5</v>
      </c>
      <c r="I162" s="4">
        <v>94.476900000000001</v>
      </c>
    </row>
    <row r="163" spans="5:9" x14ac:dyDescent="0.2">
      <c r="E163" s="4">
        <v>5</v>
      </c>
      <c r="F163" s="4">
        <v>102.61</v>
      </c>
      <c r="H163" s="4">
        <v>5</v>
      </c>
      <c r="I163" s="4">
        <v>86.9255</v>
      </c>
    </row>
    <row r="164" spans="5:9" x14ac:dyDescent="0.2">
      <c r="E164" s="4">
        <v>5</v>
      </c>
      <c r="F164" s="4">
        <v>138.51599999999999</v>
      </c>
      <c r="H164" s="4">
        <v>5</v>
      </c>
      <c r="I164" s="4">
        <v>56.625999999999998</v>
      </c>
    </row>
    <row r="165" spans="5:9" x14ac:dyDescent="0.2">
      <c r="E165" s="4">
        <v>5</v>
      </c>
      <c r="F165" s="4">
        <v>98.407300000000006</v>
      </c>
      <c r="H165" s="4">
        <v>5</v>
      </c>
      <c r="I165" s="4">
        <v>87.109099999999998</v>
      </c>
    </row>
    <row r="166" spans="5:9" x14ac:dyDescent="0.2">
      <c r="E166" s="4">
        <v>5</v>
      </c>
      <c r="F166" s="4">
        <v>93.388000000000005</v>
      </c>
      <c r="H166" s="4">
        <v>5</v>
      </c>
      <c r="I166" s="4">
        <v>111.43899999999999</v>
      </c>
    </row>
    <row r="167" spans="5:9" x14ac:dyDescent="0.2">
      <c r="E167" s="4">
        <v>5</v>
      </c>
      <c r="F167" s="4">
        <v>103.509</v>
      </c>
      <c r="H167" s="4">
        <v>5</v>
      </c>
      <c r="I167" s="4">
        <v>95.011300000000006</v>
      </c>
    </row>
    <row r="168" spans="5:9" x14ac:dyDescent="0.2">
      <c r="E168" s="4">
        <v>5</v>
      </c>
      <c r="F168" s="4">
        <v>119.17400000000001</v>
      </c>
      <c r="H168" s="4">
        <v>5</v>
      </c>
      <c r="I168" s="4">
        <v>107.94199999999999</v>
      </c>
    </row>
    <row r="169" spans="5:9" x14ac:dyDescent="0.2">
      <c r="E169" s="4">
        <v>5</v>
      </c>
      <c r="F169" s="4">
        <v>106.015</v>
      </c>
      <c r="H169" s="4">
        <v>5</v>
      </c>
      <c r="I169" s="4">
        <v>83.909800000000004</v>
      </c>
    </row>
    <row r="170" spans="5:9" x14ac:dyDescent="0.2">
      <c r="E170" s="4">
        <v>5</v>
      </c>
      <c r="F170" s="4">
        <v>84.108500000000006</v>
      </c>
      <c r="H170" s="4">
        <v>5</v>
      </c>
      <c r="I170" s="4">
        <v>54.646799999999999</v>
      </c>
    </row>
    <row r="171" spans="5:9" x14ac:dyDescent="0.2">
      <c r="E171" s="4">
        <v>5</v>
      </c>
      <c r="F171" s="4">
        <v>97.450299999999999</v>
      </c>
      <c r="H171" s="4">
        <v>5</v>
      </c>
      <c r="I171" s="4">
        <v>103.128</v>
      </c>
    </row>
    <row r="172" spans="5:9" x14ac:dyDescent="0.2">
      <c r="E172" s="4">
        <v>5</v>
      </c>
      <c r="F172" s="4">
        <v>113.2</v>
      </c>
      <c r="H172" s="4">
        <v>5</v>
      </c>
      <c r="I172" s="4">
        <v>87.095500000000001</v>
      </c>
    </row>
    <row r="173" spans="5:9" x14ac:dyDescent="0.2">
      <c r="E173" s="4">
        <v>5</v>
      </c>
      <c r="F173" s="4">
        <v>95.878100000000003</v>
      </c>
      <c r="H173" s="4">
        <v>5</v>
      </c>
      <c r="I173" s="4">
        <v>86.204300000000003</v>
      </c>
    </row>
    <row r="174" spans="5:9" x14ac:dyDescent="0.2">
      <c r="E174" s="4">
        <v>5</v>
      </c>
      <c r="F174" s="4">
        <v>111.613</v>
      </c>
      <c r="H174" s="4">
        <v>5</v>
      </c>
      <c r="I174" s="4">
        <v>90.991500000000002</v>
      </c>
    </row>
    <row r="175" spans="5:9" x14ac:dyDescent="0.2">
      <c r="E175" s="4">
        <v>5</v>
      </c>
      <c r="F175" s="4">
        <v>122.60299999999999</v>
      </c>
      <c r="H175" s="4">
        <v>5</v>
      </c>
      <c r="I175" s="4">
        <v>99.191299999999998</v>
      </c>
    </row>
    <row r="176" spans="5:9" x14ac:dyDescent="0.2">
      <c r="E176" s="4">
        <v>5</v>
      </c>
      <c r="F176" s="4">
        <v>79.742599999999996</v>
      </c>
      <c r="H176" s="4">
        <v>5</v>
      </c>
      <c r="I176" s="4">
        <v>49.619399999999999</v>
      </c>
    </row>
    <row r="177" spans="5:9" x14ac:dyDescent="0.2">
      <c r="E177" s="4">
        <v>5</v>
      </c>
      <c r="F177" s="4">
        <v>145.86199999999999</v>
      </c>
      <c r="H177" s="4">
        <v>5</v>
      </c>
      <c r="I177" s="4">
        <v>84.876400000000004</v>
      </c>
    </row>
    <row r="178" spans="5:9" x14ac:dyDescent="0.2">
      <c r="H178" s="4">
        <v>5</v>
      </c>
      <c r="I178" s="4">
        <v>91.515299999999996</v>
      </c>
    </row>
    <row r="179" spans="5:9" x14ac:dyDescent="0.2">
      <c r="H179" s="4">
        <v>5</v>
      </c>
      <c r="I179" s="4">
        <v>107.41800000000001</v>
      </c>
    </row>
    <row r="433" spans="29:30" x14ac:dyDescent="0.2">
      <c r="AC433" s="4">
        <v>-168.33500000000001</v>
      </c>
      <c r="AD433" s="4">
        <v>66.1661</v>
      </c>
    </row>
    <row r="434" spans="29:30" x14ac:dyDescent="0.2">
      <c r="AC434" s="4">
        <v>-210.46199999999999</v>
      </c>
      <c r="AD434" s="4">
        <v>30.8734</v>
      </c>
    </row>
    <row r="435" spans="29:30" x14ac:dyDescent="0.2">
      <c r="AC435" s="4">
        <v>-159.97399999999999</v>
      </c>
      <c r="AD435" s="4">
        <v>62.885800000000003</v>
      </c>
    </row>
    <row r="436" spans="29:30" x14ac:dyDescent="0.2">
      <c r="AC436" s="4">
        <v>-167.19300000000001</v>
      </c>
      <c r="AD436" s="4">
        <v>53.259799999999998</v>
      </c>
    </row>
    <row r="437" spans="29:30" x14ac:dyDescent="0.2">
      <c r="AC437" s="4">
        <v>-197.94300000000001</v>
      </c>
      <c r="AD437" s="4">
        <v>29.498200000000001</v>
      </c>
    </row>
    <row r="438" spans="29:30" x14ac:dyDescent="0.2">
      <c r="AC438" s="4">
        <v>-156.779</v>
      </c>
      <c r="AD438" s="4">
        <v>19.033000000000001</v>
      </c>
    </row>
    <row r="439" spans="29:30" x14ac:dyDescent="0.2">
      <c r="AC439" s="4">
        <v>-184.76300000000001</v>
      </c>
      <c r="AD439" s="4">
        <v>56.039099999999998</v>
      </c>
    </row>
    <row r="440" spans="29:30" x14ac:dyDescent="0.2">
      <c r="AC440" s="4">
        <v>-155.00399999999999</v>
      </c>
      <c r="AD440" s="4">
        <v>37.8596</v>
      </c>
    </row>
    <row r="441" spans="29:30" x14ac:dyDescent="0.2">
      <c r="AC441" s="4">
        <v>-165.35900000000001</v>
      </c>
      <c r="AD441" s="4">
        <v>39.115200000000002</v>
      </c>
    </row>
    <row r="442" spans="29:30" x14ac:dyDescent="0.2">
      <c r="AC442" s="4">
        <v>-203.339</v>
      </c>
      <c r="AD442" s="4">
        <v>39.913899999999998</v>
      </c>
    </row>
    <row r="443" spans="29:30" x14ac:dyDescent="0.2">
      <c r="AC443" s="4">
        <v>-161.83199999999999</v>
      </c>
      <c r="AD443" s="4">
        <v>54.395899999999997</v>
      </c>
    </row>
    <row r="444" spans="29:30" x14ac:dyDescent="0.2">
      <c r="AC444" s="4">
        <v>-165.45500000000001</v>
      </c>
      <c r="AD444" s="4">
        <v>57.358600000000003</v>
      </c>
    </row>
    <row r="445" spans="29:30" x14ac:dyDescent="0.2">
      <c r="AC445" s="4">
        <v>-190.87299999999999</v>
      </c>
      <c r="AD445" s="4">
        <v>55.945799999999998</v>
      </c>
    </row>
    <row r="446" spans="29:30" x14ac:dyDescent="0.2">
      <c r="AC446" s="4">
        <v>-169.69499999999999</v>
      </c>
      <c r="AD446" s="4">
        <v>46.736800000000002</v>
      </c>
    </row>
    <row r="447" spans="29:30" x14ac:dyDescent="0.2">
      <c r="AC447" s="4">
        <v>-201.94800000000001</v>
      </c>
      <c r="AD447" s="4">
        <v>44.804200000000002</v>
      </c>
    </row>
    <row r="448" spans="29:30" x14ac:dyDescent="0.2">
      <c r="AC448" s="4">
        <v>-178.542</v>
      </c>
      <c r="AD448" s="4">
        <v>53.716999999999999</v>
      </c>
    </row>
    <row r="449" spans="29:30" x14ac:dyDescent="0.2">
      <c r="AC449" s="4">
        <v>-170.93600000000001</v>
      </c>
      <c r="AD449" s="4">
        <v>21.033799999999999</v>
      </c>
    </row>
    <row r="450" spans="29:30" x14ac:dyDescent="0.2">
      <c r="AC450" s="4">
        <v>-178.405</v>
      </c>
      <c r="AD450" s="4">
        <v>27.5107</v>
      </c>
    </row>
    <row r="451" spans="29:30" x14ac:dyDescent="0.2">
      <c r="AC451" s="4">
        <v>-157.16399999999999</v>
      </c>
      <c r="AD451" s="4">
        <v>20.825500000000002</v>
      </c>
    </row>
    <row r="452" spans="29:30" x14ac:dyDescent="0.2">
      <c r="AC452" s="4">
        <v>-175.03399999999999</v>
      </c>
      <c r="AD452" s="4">
        <v>52.744</v>
      </c>
    </row>
    <row r="453" spans="29:30" x14ac:dyDescent="0.2">
      <c r="AC453" s="4">
        <v>-161.554</v>
      </c>
      <c r="AD453" s="4">
        <v>48.0351</v>
      </c>
    </row>
    <row r="454" spans="29:30" x14ac:dyDescent="0.2">
      <c r="AC454" s="4">
        <v>-203.13399999999999</v>
      </c>
      <c r="AD454" s="4">
        <v>42.444400000000002</v>
      </c>
    </row>
    <row r="455" spans="29:30" x14ac:dyDescent="0.2">
      <c r="AC455" s="4">
        <v>-204.00399999999999</v>
      </c>
      <c r="AD455" s="4">
        <v>20.2896</v>
      </c>
    </row>
    <row r="456" spans="29:30" x14ac:dyDescent="0.2">
      <c r="AC456" s="4">
        <v>-205.102</v>
      </c>
      <c r="AD456" s="4">
        <v>45.947400000000002</v>
      </c>
    </row>
    <row r="457" spans="29:30" x14ac:dyDescent="0.2">
      <c r="AC457" s="4">
        <v>-156.03299999999999</v>
      </c>
      <c r="AD457" s="4">
        <v>5.8794500000000003</v>
      </c>
    </row>
    <row r="458" spans="29:30" x14ac:dyDescent="0.2">
      <c r="AC458" s="4">
        <v>-172.435</v>
      </c>
      <c r="AD458" s="4">
        <v>27.4238</v>
      </c>
    </row>
    <row r="459" spans="29:30" x14ac:dyDescent="0.2">
      <c r="AC459" s="4">
        <v>-155.291</v>
      </c>
      <c r="AD459" s="4">
        <v>13.613099999999999</v>
      </c>
    </row>
    <row r="460" spans="29:30" x14ac:dyDescent="0.2">
      <c r="AC460" s="4">
        <v>-182.97</v>
      </c>
      <c r="AD460" s="4">
        <v>6.1835500000000003</v>
      </c>
    </row>
    <row r="461" spans="29:30" x14ac:dyDescent="0.2">
      <c r="AC461" s="4">
        <v>-162.57400000000001</v>
      </c>
      <c r="AD461" s="4">
        <v>6.5885800000000003</v>
      </c>
    </row>
    <row r="462" spans="29:30" x14ac:dyDescent="0.2">
      <c r="AC462" s="4">
        <v>-183.565</v>
      </c>
      <c r="AD462" s="4">
        <v>20.229700000000001</v>
      </c>
    </row>
    <row r="463" spans="29:30" x14ac:dyDescent="0.2">
      <c r="AC463" s="4">
        <v>-185.46299999999999</v>
      </c>
      <c r="AD463" s="4">
        <v>66.0274</v>
      </c>
    </row>
    <row r="464" spans="29:30" x14ac:dyDescent="0.2">
      <c r="AC464" s="4">
        <v>-156.26400000000001</v>
      </c>
      <c r="AD464" s="4">
        <v>30.927600000000002</v>
      </c>
    </row>
    <row r="465" spans="29:30" x14ac:dyDescent="0.2">
      <c r="AC465" s="4">
        <v>-189.42599999999999</v>
      </c>
      <c r="AD465" s="4">
        <v>67.534700000000001</v>
      </c>
    </row>
    <row r="466" spans="29:30" x14ac:dyDescent="0.2">
      <c r="AC466" s="4">
        <v>-209.946</v>
      </c>
      <c r="AD466" s="4">
        <v>14.7239</v>
      </c>
    </row>
    <row r="467" spans="29:30" x14ac:dyDescent="0.2">
      <c r="AC467" s="4">
        <v>-143.80000000000001</v>
      </c>
      <c r="AD467" s="4">
        <v>39.138100000000001</v>
      </c>
    </row>
    <row r="468" spans="29:30" x14ac:dyDescent="0.2">
      <c r="AC468" s="4">
        <v>-168.124</v>
      </c>
      <c r="AD468" s="4">
        <v>25.629799999999999</v>
      </c>
    </row>
    <row r="469" spans="29:30" x14ac:dyDescent="0.2">
      <c r="AC469" s="4">
        <v>-209.98699999999999</v>
      </c>
      <c r="AD469" s="4">
        <v>4.6267399999999999</v>
      </c>
    </row>
    <row r="470" spans="29:30" x14ac:dyDescent="0.2">
      <c r="AC470" s="4">
        <v>-171.19499999999999</v>
      </c>
      <c r="AD470" s="4">
        <v>61.104599999999998</v>
      </c>
    </row>
    <row r="471" spans="29:30" x14ac:dyDescent="0.2">
      <c r="AC471" s="4">
        <v>-185.94900000000001</v>
      </c>
      <c r="AD471" s="4">
        <v>51.929499999999997</v>
      </c>
    </row>
    <row r="472" spans="29:30" x14ac:dyDescent="0.2">
      <c r="AC472" s="4">
        <v>-177.33799999999999</v>
      </c>
      <c r="AD472" s="4">
        <v>65.511799999999994</v>
      </c>
    </row>
    <row r="473" spans="29:30" x14ac:dyDescent="0.2">
      <c r="AC473" s="4">
        <v>-179.93600000000001</v>
      </c>
      <c r="AD473" s="4">
        <v>28.435199999999998</v>
      </c>
    </row>
    <row r="474" spans="29:30" x14ac:dyDescent="0.2">
      <c r="AC474" s="4">
        <v>-185.679</v>
      </c>
      <c r="AD474" s="4">
        <v>54.059399999999997</v>
      </c>
    </row>
    <row r="475" spans="29:30" x14ac:dyDescent="0.2">
      <c r="AC475" s="4">
        <v>-167.702</v>
      </c>
      <c r="AD475" s="4">
        <v>56.476700000000001</v>
      </c>
    </row>
    <row r="476" spans="29:30" x14ac:dyDescent="0.2">
      <c r="AC476" s="4">
        <v>-178.81800000000001</v>
      </c>
      <c r="AD476" s="4">
        <v>35.125900000000001</v>
      </c>
    </row>
    <row r="477" spans="29:30" x14ac:dyDescent="0.2">
      <c r="AC477" s="4">
        <v>-157.81899999999999</v>
      </c>
      <c r="AD477" s="4">
        <v>56.179900000000004</v>
      </c>
    </row>
    <row r="478" spans="29:30" x14ac:dyDescent="0.2">
      <c r="AC478" s="4">
        <v>-174.90899999999999</v>
      </c>
      <c r="AD478" s="4">
        <v>29.8904</v>
      </c>
    </row>
    <row r="479" spans="29:30" x14ac:dyDescent="0.2">
      <c r="AC479" s="4">
        <v>-199.274</v>
      </c>
      <c r="AD479" s="4">
        <v>48.318199999999997</v>
      </c>
    </row>
    <row r="480" spans="29:30" x14ac:dyDescent="0.2">
      <c r="AC480" s="4">
        <v>-175.55099999999999</v>
      </c>
      <c r="AD480" s="4">
        <v>21.578199999999999</v>
      </c>
    </row>
    <row r="481" spans="29:30" x14ac:dyDescent="0.2">
      <c r="AC481" s="4">
        <v>-177.55799999999999</v>
      </c>
      <c r="AD481" s="4">
        <v>40.921700000000001</v>
      </c>
    </row>
    <row r="482" spans="29:30" x14ac:dyDescent="0.2">
      <c r="AC482" s="4">
        <v>-182.601</v>
      </c>
      <c r="AD482" s="4">
        <v>47.590899999999998</v>
      </c>
    </row>
    <row r="483" spans="29:30" x14ac:dyDescent="0.2">
      <c r="AC483" s="4">
        <v>-177.97300000000001</v>
      </c>
      <c r="AD483" s="4">
        <v>15.5307</v>
      </c>
    </row>
    <row r="484" spans="29:30" x14ac:dyDescent="0.2">
      <c r="AC484" s="4">
        <v>-182.35400000000001</v>
      </c>
      <c r="AD484" s="4">
        <v>37.9833</v>
      </c>
    </row>
    <row r="485" spans="29:30" x14ac:dyDescent="0.2">
      <c r="AC485" s="4">
        <v>-154.19900000000001</v>
      </c>
      <c r="AD485" s="4">
        <v>5.8216200000000002</v>
      </c>
    </row>
    <row r="486" spans="29:30" x14ac:dyDescent="0.2">
      <c r="AC486" s="4">
        <v>-166.75800000000001</v>
      </c>
      <c r="AD486" s="4">
        <v>50.109000000000002</v>
      </c>
    </row>
    <row r="487" spans="29:30" x14ac:dyDescent="0.2">
      <c r="AC487" s="4">
        <v>-200.75700000000001</v>
      </c>
      <c r="AD487" s="4">
        <v>44.864699999999999</v>
      </c>
    </row>
    <row r="488" spans="29:30" x14ac:dyDescent="0.2">
      <c r="AC488" s="4">
        <v>-186.94499999999999</v>
      </c>
      <c r="AD488" s="4">
        <v>45.808900000000001</v>
      </c>
    </row>
    <row r="489" spans="29:30" x14ac:dyDescent="0.2">
      <c r="AC489" s="4">
        <v>-178.23099999999999</v>
      </c>
      <c r="AD489" s="4">
        <v>49.036499999999997</v>
      </c>
    </row>
    <row r="490" spans="29:30" x14ac:dyDescent="0.2">
      <c r="AC490" s="4">
        <v>-168.63900000000001</v>
      </c>
      <c r="AD490" s="4">
        <v>61.146299999999997</v>
      </c>
    </row>
    <row r="491" spans="29:30" x14ac:dyDescent="0.2">
      <c r="AC491" s="4">
        <v>-149.983</v>
      </c>
      <c r="AD491" s="4">
        <v>20.8032</v>
      </c>
    </row>
    <row r="492" spans="29:30" x14ac:dyDescent="0.2">
      <c r="AC492" s="4">
        <v>-180.70099999999999</v>
      </c>
      <c r="AD492" s="4">
        <v>39.213500000000003</v>
      </c>
    </row>
    <row r="493" spans="29:30" x14ac:dyDescent="0.2">
      <c r="AC493" s="4">
        <v>-167.80699999999999</v>
      </c>
      <c r="AD493" s="4">
        <v>29.296399999999998</v>
      </c>
    </row>
    <row r="494" spans="29:30" x14ac:dyDescent="0.2">
      <c r="AC494" s="4">
        <v>-178.78899999999999</v>
      </c>
      <c r="AD494" s="4">
        <v>21.365200000000002</v>
      </c>
    </row>
    <row r="495" spans="29:30" x14ac:dyDescent="0.2">
      <c r="AC495" s="4">
        <v>-162.04499999999999</v>
      </c>
      <c r="AD495" s="4">
        <v>31.0092</v>
      </c>
    </row>
    <row r="496" spans="29:30" x14ac:dyDescent="0.2">
      <c r="AC496" s="4">
        <v>-211.16200000000001</v>
      </c>
      <c r="AD496" s="4">
        <v>45.383699999999997</v>
      </c>
    </row>
    <row r="497" spans="29:30" x14ac:dyDescent="0.2">
      <c r="AC497" s="4">
        <v>-144.32</v>
      </c>
      <c r="AD497" s="4">
        <v>23.121200000000002</v>
      </c>
    </row>
    <row r="498" spans="29:30" x14ac:dyDescent="0.2">
      <c r="AC498" s="4">
        <v>-142.501</v>
      </c>
      <c r="AD498" s="4">
        <v>46.412500000000001</v>
      </c>
    </row>
    <row r="499" spans="29:30" x14ac:dyDescent="0.2">
      <c r="AC499" s="4">
        <v>-165.886</v>
      </c>
      <c r="AD499" s="4">
        <v>58.570999999999998</v>
      </c>
    </row>
    <row r="500" spans="29:30" x14ac:dyDescent="0.2">
      <c r="AC500" s="4">
        <v>-145.77799999999999</v>
      </c>
      <c r="AD500" s="4">
        <v>5.7897400000000001</v>
      </c>
    </row>
    <row r="501" spans="29:30" x14ac:dyDescent="0.2">
      <c r="AC501" s="4">
        <v>-193.12</v>
      </c>
      <c r="AD501" s="4">
        <v>40.224499999999999</v>
      </c>
    </row>
    <row r="502" spans="29:30" x14ac:dyDescent="0.2">
      <c r="AC502" s="4">
        <v>-179.792</v>
      </c>
      <c r="AD502" s="4">
        <v>46.5184</v>
      </c>
    </row>
    <row r="503" spans="29:30" x14ac:dyDescent="0.2">
      <c r="AC503" s="4">
        <v>-180.429</v>
      </c>
      <c r="AD503" s="4">
        <v>3.2565499999999998</v>
      </c>
    </row>
    <row r="504" spans="29:30" x14ac:dyDescent="0.2">
      <c r="AC504" s="4">
        <v>-172.499</v>
      </c>
      <c r="AD504" s="4">
        <v>50.219099999999997</v>
      </c>
    </row>
    <row r="505" spans="29:30" x14ac:dyDescent="0.2">
      <c r="AC505" s="4">
        <v>-177.238</v>
      </c>
      <c r="AD505" s="4">
        <v>26.2605</v>
      </c>
    </row>
    <row r="506" spans="29:30" x14ac:dyDescent="0.2">
      <c r="AC506" s="4">
        <v>-150.70099999999999</v>
      </c>
      <c r="AD506" s="4">
        <v>20.916799999999999</v>
      </c>
    </row>
    <row r="507" spans="29:30" x14ac:dyDescent="0.2">
      <c r="AC507" s="4">
        <v>-171.709</v>
      </c>
      <c r="AD507" s="4">
        <v>48.817500000000003</v>
      </c>
    </row>
    <row r="508" spans="29:30" x14ac:dyDescent="0.2">
      <c r="AC508" s="4">
        <v>-156.721</v>
      </c>
      <c r="AD508" s="4">
        <v>29.4346</v>
      </c>
    </row>
    <row r="509" spans="29:30" x14ac:dyDescent="0.2">
      <c r="AC509" s="4">
        <v>-164.79300000000001</v>
      </c>
      <c r="AD509" s="4">
        <v>17.1006</v>
      </c>
    </row>
    <row r="510" spans="29:30" x14ac:dyDescent="0.2">
      <c r="AC510" s="4">
        <v>-208.68899999999999</v>
      </c>
      <c r="AD510" s="4">
        <v>66.297799999999995</v>
      </c>
    </row>
    <row r="511" spans="29:30" x14ac:dyDescent="0.2">
      <c r="AC511" s="4">
        <v>-206.52199999999999</v>
      </c>
      <c r="AD511" s="4">
        <v>20.523700000000002</v>
      </c>
    </row>
    <row r="512" spans="29:30" x14ac:dyDescent="0.2">
      <c r="AC512" s="4">
        <v>-172.92099999999999</v>
      </c>
      <c r="AD512" s="4">
        <v>40.275799999999997</v>
      </c>
    </row>
    <row r="513" spans="29:30" x14ac:dyDescent="0.2">
      <c r="AC513" s="4">
        <v>-176.381</v>
      </c>
      <c r="AD513" s="4">
        <v>41.75</v>
      </c>
    </row>
    <row r="514" spans="29:30" x14ac:dyDescent="0.2">
      <c r="AC514" s="4">
        <v>-165.809</v>
      </c>
      <c r="AD514" s="4">
        <v>56.4099</v>
      </c>
    </row>
    <row r="515" spans="29:30" x14ac:dyDescent="0.2">
      <c r="AC515" s="4">
        <v>-196.44300000000001</v>
      </c>
      <c r="AD515" s="4">
        <v>57.772100000000002</v>
      </c>
    </row>
    <row r="516" spans="29:30" x14ac:dyDescent="0.2">
      <c r="AC516" s="4">
        <v>-183.08600000000001</v>
      </c>
      <c r="AD516" s="4">
        <v>68.570300000000003</v>
      </c>
    </row>
    <row r="517" spans="29:30" x14ac:dyDescent="0.2">
      <c r="AC517" s="4">
        <v>-155.54499999999999</v>
      </c>
      <c r="AD517" s="4">
        <v>24.067399999999999</v>
      </c>
    </row>
    <row r="518" spans="29:30" x14ac:dyDescent="0.2">
      <c r="AC518" s="4">
        <v>-201.36</v>
      </c>
      <c r="AD518" s="4">
        <v>45.265500000000003</v>
      </c>
    </row>
    <row r="519" spans="29:30" x14ac:dyDescent="0.2">
      <c r="AC519" s="4">
        <v>-176.98400000000001</v>
      </c>
      <c r="AD519" s="4">
        <v>38.896700000000003</v>
      </c>
    </row>
    <row r="520" spans="29:30" x14ac:dyDescent="0.2">
      <c r="AC520" s="4">
        <v>-151.23500000000001</v>
      </c>
      <c r="AD520" s="4">
        <v>68.235100000000003</v>
      </c>
    </row>
    <row r="521" spans="29:30" x14ac:dyDescent="0.2">
      <c r="AC521" s="4">
        <v>-165.71600000000001</v>
      </c>
      <c r="AD521" s="4">
        <v>55.001600000000003</v>
      </c>
    </row>
    <row r="522" spans="29:30" x14ac:dyDescent="0.2">
      <c r="AC522" s="4">
        <v>-191.95400000000001</v>
      </c>
      <c r="AD522" s="4">
        <v>57.532299999999999</v>
      </c>
    </row>
    <row r="523" spans="29:30" x14ac:dyDescent="0.2">
      <c r="AC523" s="4">
        <v>-155.035</v>
      </c>
      <c r="AD523" s="4">
        <v>28.325900000000001</v>
      </c>
    </row>
    <row r="524" spans="29:30" x14ac:dyDescent="0.2">
      <c r="AC524" s="4">
        <v>-155.905</v>
      </c>
      <c r="AD524" s="4">
        <v>15.017799999999999</v>
      </c>
    </row>
    <row r="525" spans="29:30" x14ac:dyDescent="0.2">
      <c r="AC525" s="4">
        <v>-165.03299999999999</v>
      </c>
      <c r="AD525" s="4">
        <v>9.8932300000000009</v>
      </c>
    </row>
    <row r="526" spans="29:30" x14ac:dyDescent="0.2">
      <c r="AC526" s="4">
        <v>-154.21700000000001</v>
      </c>
      <c r="AD526" s="4">
        <v>66.496099999999998</v>
      </c>
    </row>
    <row r="527" spans="29:30" x14ac:dyDescent="0.2">
      <c r="AC527" s="4">
        <v>-167.745</v>
      </c>
      <c r="AD527" s="4">
        <v>5.4375499999999999</v>
      </c>
    </row>
    <row r="528" spans="29:30" x14ac:dyDescent="0.2">
      <c r="AC528" s="4">
        <v>-177.93199999999999</v>
      </c>
      <c r="AD528" s="4">
        <v>21.224699999999999</v>
      </c>
    </row>
    <row r="529" spans="29:30" x14ac:dyDescent="0.2">
      <c r="AC529" s="4">
        <v>-164.83099999999999</v>
      </c>
      <c r="AD529" s="4">
        <v>38.295699999999997</v>
      </c>
    </row>
    <row r="530" spans="29:30" x14ac:dyDescent="0.2">
      <c r="AC530" s="4">
        <v>-166.87</v>
      </c>
      <c r="AD530" s="4">
        <v>55.432699999999997</v>
      </c>
    </row>
    <row r="531" spans="29:30" x14ac:dyDescent="0.2">
      <c r="AC531" s="4">
        <v>-179.501</v>
      </c>
      <c r="AD531" s="4">
        <v>48.022799999999997</v>
      </c>
    </row>
    <row r="532" spans="29:30" x14ac:dyDescent="0.2">
      <c r="AC532" s="4">
        <v>-195.696</v>
      </c>
      <c r="AD532" s="4">
        <v>63.036499999999997</v>
      </c>
    </row>
    <row r="533" spans="29:30" x14ac:dyDescent="0.2">
      <c r="AC533" s="4">
        <v>-179.505</v>
      </c>
      <c r="AD533" s="4">
        <v>44.638300000000001</v>
      </c>
    </row>
    <row r="534" spans="29:30" x14ac:dyDescent="0.2">
      <c r="AC534" s="4">
        <v>-154.82400000000001</v>
      </c>
      <c r="AD534" s="4">
        <v>17.968900000000001</v>
      </c>
    </row>
    <row r="535" spans="29:30" x14ac:dyDescent="0.2">
      <c r="AC535" s="4">
        <v>-159.191</v>
      </c>
      <c r="AD535" s="4">
        <v>61.680999999999997</v>
      </c>
    </row>
    <row r="536" spans="29:30" x14ac:dyDescent="0.2">
      <c r="AC536" s="4">
        <v>-204.78100000000001</v>
      </c>
      <c r="AD536" s="4">
        <v>36.717399999999998</v>
      </c>
    </row>
    <row r="537" spans="29:30" x14ac:dyDescent="0.2">
      <c r="AC537" s="4">
        <v>-156.16999999999999</v>
      </c>
      <c r="AD537" s="4">
        <v>55.798699999999997</v>
      </c>
    </row>
    <row r="538" spans="29:30" x14ac:dyDescent="0.2">
      <c r="AC538" s="4">
        <v>-187.654</v>
      </c>
      <c r="AD538" s="4">
        <v>58.202599999999997</v>
      </c>
    </row>
    <row r="539" spans="29:30" x14ac:dyDescent="0.2">
      <c r="AC539" s="4">
        <v>-187.73099999999999</v>
      </c>
      <c r="AD539" s="4">
        <v>61.138100000000001</v>
      </c>
    </row>
    <row r="540" spans="29:30" x14ac:dyDescent="0.2">
      <c r="AC540" s="4">
        <v>-176.46</v>
      </c>
      <c r="AD540" s="4">
        <v>56.114199999999997</v>
      </c>
    </row>
    <row r="541" spans="29:30" x14ac:dyDescent="0.2">
      <c r="AC541" s="4">
        <v>-179.59</v>
      </c>
      <c r="AD541" s="4">
        <v>35.119100000000003</v>
      </c>
    </row>
    <row r="542" spans="29:30" x14ac:dyDescent="0.2">
      <c r="AC542" s="4">
        <v>-181.08</v>
      </c>
      <c r="AD542" s="4">
        <v>58.520200000000003</v>
      </c>
    </row>
    <row r="543" spans="29:30" x14ac:dyDescent="0.2">
      <c r="AC543" s="4">
        <v>-198.19499999999999</v>
      </c>
      <c r="AD543" s="4">
        <v>31.933</v>
      </c>
    </row>
    <row r="544" spans="29:30" x14ac:dyDescent="0.2">
      <c r="AC544" s="4">
        <v>-182.131</v>
      </c>
      <c r="AD544" s="4">
        <v>54.8033</v>
      </c>
    </row>
    <row r="545" spans="29:30" x14ac:dyDescent="0.2">
      <c r="AC545" s="4">
        <v>-187.809</v>
      </c>
      <c r="AD545" s="4">
        <v>30.687999999999999</v>
      </c>
    </row>
    <row r="546" spans="29:30" x14ac:dyDescent="0.2">
      <c r="AC546" s="4">
        <v>-211.196</v>
      </c>
      <c r="AD546" s="4">
        <v>31.981999999999999</v>
      </c>
    </row>
    <row r="547" spans="29:30" x14ac:dyDescent="0.2">
      <c r="AC547" s="4">
        <v>-142.27500000000001</v>
      </c>
      <c r="AD547" s="4">
        <v>33.1614</v>
      </c>
    </row>
    <row r="548" spans="29:30" x14ac:dyDescent="0.2">
      <c r="AC548" s="4">
        <v>-142.90199999999999</v>
      </c>
      <c r="AD548" s="4">
        <v>41.854900000000001</v>
      </c>
    </row>
    <row r="549" spans="29:30" x14ac:dyDescent="0.2">
      <c r="AC549" s="4">
        <v>-164.19399999999999</v>
      </c>
      <c r="AD549" s="4">
        <v>38.647199999999998</v>
      </c>
    </row>
    <row r="550" spans="29:30" x14ac:dyDescent="0.2">
      <c r="AC550" s="4">
        <v>-210.898</v>
      </c>
      <c r="AD550" s="4">
        <v>72.928899999999999</v>
      </c>
    </row>
    <row r="551" spans="29:30" x14ac:dyDescent="0.2">
      <c r="AC551" s="4">
        <v>-210.821</v>
      </c>
      <c r="AD551" s="4">
        <v>34.220500000000001</v>
      </c>
    </row>
    <row r="552" spans="29:30" x14ac:dyDescent="0.2">
      <c r="AC552" s="4">
        <v>-210.99199999999999</v>
      </c>
      <c r="AD552" s="4">
        <v>37.549500000000002</v>
      </c>
    </row>
    <row r="553" spans="29:30" x14ac:dyDescent="0.2">
      <c r="AC553" s="4">
        <v>-210.84100000000001</v>
      </c>
      <c r="AD553" s="4">
        <v>38.902200000000001</v>
      </c>
    </row>
    <row r="554" spans="29:30" x14ac:dyDescent="0.2">
      <c r="AC554" s="4">
        <v>-166.578</v>
      </c>
      <c r="AD554" s="4">
        <v>38.769799999999996</v>
      </c>
    </row>
    <row r="555" spans="29:30" x14ac:dyDescent="0.2">
      <c r="AC555" s="4">
        <v>-211.376</v>
      </c>
      <c r="AD555" s="4">
        <v>31.717300000000002</v>
      </c>
    </row>
    <row r="556" spans="29:30" x14ac:dyDescent="0.2">
      <c r="AC556" s="4">
        <v>-211.095</v>
      </c>
      <c r="AD556" s="4">
        <v>32.525399999999998</v>
      </c>
    </row>
    <row r="557" spans="29:30" x14ac:dyDescent="0.2">
      <c r="AC557" s="4">
        <v>-165.631</v>
      </c>
      <c r="AD557" s="4">
        <v>2.84863</v>
      </c>
    </row>
    <row r="558" spans="29:30" x14ac:dyDescent="0.2">
      <c r="AC558" s="4">
        <v>-167.51</v>
      </c>
      <c r="AD558" s="4">
        <v>2.5816300000000001</v>
      </c>
    </row>
    <row r="559" spans="29:30" x14ac:dyDescent="0.2">
      <c r="AC559" s="4">
        <v>-168.37299999999999</v>
      </c>
      <c r="AD559" s="4">
        <v>75.016000000000005</v>
      </c>
    </row>
    <row r="560" spans="29:30" x14ac:dyDescent="0.2">
      <c r="AC560" s="4">
        <v>-174.51</v>
      </c>
      <c r="AD560" s="4">
        <v>2.62643</v>
      </c>
    </row>
    <row r="561" spans="29:30" x14ac:dyDescent="0.2">
      <c r="AC561" s="4">
        <v>-188.86</v>
      </c>
      <c r="AD561" s="4">
        <v>60.426699999999997</v>
      </c>
    </row>
    <row r="562" spans="29:30" x14ac:dyDescent="0.2">
      <c r="AC562" s="4">
        <v>-142.37200000000001</v>
      </c>
      <c r="AD562" s="4">
        <v>20.688400000000001</v>
      </c>
    </row>
    <row r="563" spans="29:30" x14ac:dyDescent="0.2">
      <c r="AC563" s="4">
        <v>-188.84100000000001</v>
      </c>
      <c r="AD563" s="4">
        <v>56.3812</v>
      </c>
    </row>
    <row r="564" spans="29:30" x14ac:dyDescent="0.2">
      <c r="AC564" s="4">
        <v>-211.16399999999999</v>
      </c>
      <c r="AD564" s="4">
        <v>7.2984400000000003</v>
      </c>
    </row>
    <row r="565" spans="29:30" x14ac:dyDescent="0.2">
      <c r="AC565" s="4">
        <v>-186.697</v>
      </c>
      <c r="AD565" s="4">
        <v>56.228000000000002</v>
      </c>
    </row>
    <row r="566" spans="29:30" x14ac:dyDescent="0.2">
      <c r="AC566" s="4">
        <v>-151.315</v>
      </c>
      <c r="AD566" s="4">
        <v>2.6125699999999998</v>
      </c>
    </row>
    <row r="567" spans="29:30" x14ac:dyDescent="0.2">
      <c r="AC567" s="4">
        <v>-211.227</v>
      </c>
      <c r="AD567" s="4">
        <v>65.259</v>
      </c>
    </row>
    <row r="568" spans="29:30" x14ac:dyDescent="0.2">
      <c r="AC568" s="4">
        <v>-173.64</v>
      </c>
      <c r="AD568" s="4">
        <v>2.8347500000000001</v>
      </c>
    </row>
    <row r="569" spans="29:30" x14ac:dyDescent="0.2">
      <c r="AC569" s="4">
        <v>-172.084</v>
      </c>
      <c r="AD569" s="4">
        <v>2.8235999999999999</v>
      </c>
    </row>
    <row r="570" spans="29:30" x14ac:dyDescent="0.2">
      <c r="AC570" s="4">
        <v>-173.11600000000001</v>
      </c>
      <c r="AD570" s="4">
        <v>2.92428</v>
      </c>
    </row>
    <row r="571" spans="29:30" x14ac:dyDescent="0.2">
      <c r="AC571" s="4">
        <v>-142.38999999999999</v>
      </c>
      <c r="AD571" s="4">
        <v>22.206</v>
      </c>
    </row>
    <row r="572" spans="29:30" x14ac:dyDescent="0.2">
      <c r="AC572" s="4">
        <v>-211.19300000000001</v>
      </c>
      <c r="AD572" s="4">
        <v>28.069900000000001</v>
      </c>
    </row>
    <row r="573" spans="29:30" x14ac:dyDescent="0.2">
      <c r="AC573" s="4">
        <v>-142.59</v>
      </c>
      <c r="AD573" s="4">
        <v>28.100200000000001</v>
      </c>
    </row>
    <row r="574" spans="29:30" x14ac:dyDescent="0.2">
      <c r="AC574" s="4">
        <v>-211.46700000000001</v>
      </c>
      <c r="AD574" s="4">
        <v>31.301500000000001</v>
      </c>
    </row>
    <row r="575" spans="29:30" x14ac:dyDescent="0.2">
      <c r="AC575" s="4">
        <v>-156.96199999999999</v>
      </c>
      <c r="AD575" s="4">
        <v>2.65944</v>
      </c>
    </row>
    <row r="576" spans="29:30" x14ac:dyDescent="0.2">
      <c r="AC576" s="4">
        <v>-183.017</v>
      </c>
      <c r="AD576" s="4">
        <v>62.626800000000003</v>
      </c>
    </row>
    <row r="577" spans="29:30" x14ac:dyDescent="0.2">
      <c r="AC577" s="4">
        <v>-142.577</v>
      </c>
      <c r="AD577" s="4">
        <v>35.368299999999998</v>
      </c>
    </row>
    <row r="578" spans="29:30" x14ac:dyDescent="0.2">
      <c r="AC578" s="4">
        <v>-142.666</v>
      </c>
      <c r="AD578" s="4">
        <v>44.615600000000001</v>
      </c>
    </row>
    <row r="579" spans="29:30" x14ac:dyDescent="0.2">
      <c r="AC579" s="4">
        <v>-211.011</v>
      </c>
      <c r="AD579" s="4">
        <v>47.174799999999998</v>
      </c>
    </row>
    <row r="580" spans="29:30" x14ac:dyDescent="0.2">
      <c r="AC580" s="4">
        <v>-210.935</v>
      </c>
      <c r="AD580" s="4">
        <v>23.595300000000002</v>
      </c>
    </row>
    <row r="581" spans="29:30" x14ac:dyDescent="0.2">
      <c r="AC581" s="4">
        <v>-158.61099999999999</v>
      </c>
      <c r="AD581" s="4">
        <v>2.38463</v>
      </c>
    </row>
    <row r="582" spans="29:30" x14ac:dyDescent="0.2">
      <c r="AC582" s="4">
        <v>-178.51900000000001</v>
      </c>
      <c r="AD582" s="4">
        <v>2.99064</v>
      </c>
    </row>
    <row r="583" spans="29:30" x14ac:dyDescent="0.2">
      <c r="AC583" s="4">
        <v>-142.34899999999999</v>
      </c>
      <c r="AD583" s="4">
        <v>73.776300000000006</v>
      </c>
    </row>
    <row r="584" spans="29:30" x14ac:dyDescent="0.2">
      <c r="AC584" s="4">
        <v>-172.399</v>
      </c>
      <c r="AD584" s="4">
        <v>2.8504499999999999</v>
      </c>
    </row>
    <row r="585" spans="29:30" x14ac:dyDescent="0.2">
      <c r="AC585" s="4">
        <v>-185.398</v>
      </c>
      <c r="AD585" s="4">
        <v>62.896500000000003</v>
      </c>
    </row>
    <row r="586" spans="29:30" x14ac:dyDescent="0.2">
      <c r="AC586" s="4">
        <v>-211.22200000000001</v>
      </c>
      <c r="AD586" s="4">
        <v>6.0836399999999999</v>
      </c>
    </row>
    <row r="587" spans="29:30" x14ac:dyDescent="0.2">
      <c r="AC587" s="4">
        <v>-196.17</v>
      </c>
      <c r="AD587" s="4">
        <v>55.4893</v>
      </c>
    </row>
  </sheetData>
  <mergeCells count="6">
    <mergeCell ref="O27:X27"/>
    <mergeCell ref="O28:X29"/>
    <mergeCell ref="K3:L3"/>
    <mergeCell ref="H3:I3"/>
    <mergeCell ref="E3:F3"/>
    <mergeCell ref="B3:C3"/>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topLeftCell="B1" zoomScaleNormal="100" workbookViewId="0">
      <selection activeCell="C6" sqref="C6"/>
    </sheetView>
  </sheetViews>
  <sheetFormatPr baseColWidth="10"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54</v>
      </c>
      <c r="B3" s="16" t="s">
        <v>72</v>
      </c>
      <c r="C3" s="16" t="s">
        <v>73</v>
      </c>
    </row>
    <row r="4" spans="1:3" ht="16" x14ac:dyDescent="0.2">
      <c r="A4" s="2" t="s">
        <v>109</v>
      </c>
      <c r="B4" s="2" t="s">
        <v>75</v>
      </c>
      <c r="C4" s="17" t="s">
        <v>74</v>
      </c>
    </row>
    <row r="5" spans="1:3" ht="16" x14ac:dyDescent="0.2">
      <c r="A5" s="2" t="s">
        <v>110</v>
      </c>
      <c r="B5" s="2" t="s">
        <v>76</v>
      </c>
      <c r="C5" s="17" t="s">
        <v>77</v>
      </c>
    </row>
    <row r="6" spans="1:3" ht="16" x14ac:dyDescent="0.2">
      <c r="A6" s="2" t="s">
        <v>111</v>
      </c>
      <c r="B6" s="2" t="s">
        <v>0</v>
      </c>
      <c r="C6" s="17" t="s">
        <v>81</v>
      </c>
    </row>
    <row r="7" spans="1:3" ht="16" x14ac:dyDescent="0.2">
      <c r="A7" s="2" t="s">
        <v>108</v>
      </c>
      <c r="B7" s="2" t="s">
        <v>107</v>
      </c>
      <c r="C7" s="17" t="s">
        <v>106</v>
      </c>
    </row>
    <row r="8" spans="1:3" ht="16" x14ac:dyDescent="0.2">
      <c r="A8" s="2" t="s">
        <v>112</v>
      </c>
      <c r="B8" s="2" t="s">
        <v>2</v>
      </c>
      <c r="C8" s="17" t="s">
        <v>113</v>
      </c>
    </row>
  </sheetData>
  <hyperlinks>
    <hyperlink ref="C4" r:id="rId1" tooltip="Persistent link using digital object identifier" xr:uid="{8798D652-48B2-2641-A78F-6B4C5C5E8F34}"/>
    <hyperlink ref="C5" r:id="rId2" xr:uid="{28584E31-E7A8-4546-96C3-1347191E79C9}"/>
    <hyperlink ref="C6" r:id="rId3" tooltip="Persistent link using digital object identifier" xr:uid="{AEC84A09-1B9B-0548-97F0-6C6DC4FEBE1C}"/>
  </hyperlinks>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90" zoomScaleNormal="90" workbookViewId="0">
      <selection activeCell="A35" sqref="A35:J35"/>
    </sheetView>
  </sheetViews>
  <sheetFormatPr baseColWidth="10" defaultRowHeight="14" x14ac:dyDescent="0.15"/>
  <cols>
    <col min="1" max="16384" width="10.83203125" style="3"/>
  </cols>
  <sheetData>
    <row r="35" spans="1:10" ht="35" customHeight="1" x14ac:dyDescent="0.2">
      <c r="A35" s="97" t="s">
        <v>78</v>
      </c>
      <c r="B35" s="97"/>
      <c r="C35" s="97"/>
      <c r="D35" s="97"/>
      <c r="E35" s="97"/>
      <c r="F35" s="97"/>
      <c r="G35" s="97"/>
      <c r="H35" s="97"/>
      <c r="I35" s="97"/>
      <c r="J35" s="97"/>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90" zoomScaleNormal="90" workbookViewId="0"/>
  </sheetViews>
  <sheetFormatPr baseColWidth="10" defaultRowHeight="14" x14ac:dyDescent="0.15"/>
  <cols>
    <col min="1" max="16384" width="10.83203125" style="3"/>
  </cols>
  <sheetData>
    <row r="35" spans="1:12" s="4" customFormat="1" ht="16" x14ac:dyDescent="0.2">
      <c r="A35" s="4" t="s">
        <v>83</v>
      </c>
      <c r="L35" s="4" t="s">
        <v>80</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90" zoomScaleNormal="90" workbookViewId="0"/>
  </sheetViews>
  <sheetFormatPr baseColWidth="10" defaultRowHeight="16" x14ac:dyDescent="0.2"/>
  <cols>
    <col min="1" max="10" width="10.83203125" style="4"/>
    <col min="11" max="11" width="18" style="4" customWidth="1"/>
    <col min="12" max="16384" width="10.83203125" style="4"/>
  </cols>
  <sheetData>
    <row r="34" spans="1:11" x14ac:dyDescent="0.2">
      <c r="A34" s="97" t="s">
        <v>79</v>
      </c>
      <c r="B34" s="97"/>
      <c r="C34" s="97"/>
      <c r="D34" s="97"/>
      <c r="E34" s="97"/>
      <c r="F34" s="97"/>
      <c r="G34" s="97"/>
      <c r="H34" s="97"/>
      <c r="I34" s="97"/>
      <c r="J34" s="97"/>
      <c r="K34" s="97"/>
    </row>
    <row r="35" spans="1:11" ht="33" customHeight="1" x14ac:dyDescent="0.2">
      <c r="A35" s="97"/>
      <c r="B35" s="97"/>
      <c r="C35" s="97"/>
      <c r="D35" s="97"/>
      <c r="E35" s="97"/>
      <c r="F35" s="97"/>
      <c r="G35" s="97"/>
      <c r="H35" s="97"/>
      <c r="I35" s="97"/>
      <c r="J35" s="97"/>
      <c r="K35" s="97"/>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90" zoomScaleNormal="90" workbookViewId="0">
      <selection activeCell="A35" sqref="A35:J36"/>
    </sheetView>
  </sheetViews>
  <sheetFormatPr baseColWidth="10"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87" t="s">
        <v>82</v>
      </c>
      <c r="B35" s="87"/>
      <c r="C35" s="87"/>
      <c r="D35" s="87"/>
      <c r="E35" s="87"/>
      <c r="F35" s="87"/>
      <c r="G35" s="87"/>
      <c r="H35" s="87"/>
      <c r="I35" s="87"/>
      <c r="J35" s="87"/>
    </row>
    <row r="36" spans="1:10" ht="45" customHeight="1" x14ac:dyDescent="0.15">
      <c r="A36" s="87"/>
      <c r="B36" s="87"/>
      <c r="C36" s="87"/>
      <c r="D36" s="87"/>
      <c r="E36" s="87"/>
      <c r="F36" s="87"/>
      <c r="G36" s="87"/>
      <c r="H36" s="87"/>
      <c r="I36" s="87"/>
      <c r="J36" s="87"/>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90" zoomScaleNormal="90" workbookViewId="0"/>
  </sheetViews>
  <sheetFormatPr baseColWidth="10" defaultRowHeight="16" x14ac:dyDescent="0.2"/>
  <cols>
    <col min="1" max="16384" width="10.83203125" style="1"/>
  </cols>
  <sheetData>
    <row r="35" spans="1:12" ht="16" customHeight="1" x14ac:dyDescent="0.2">
      <c r="A35" s="87" t="s">
        <v>104</v>
      </c>
      <c r="B35" s="87"/>
      <c r="C35" s="87"/>
      <c r="D35" s="87"/>
      <c r="E35" s="87"/>
      <c r="F35" s="87"/>
      <c r="G35" s="87"/>
      <c r="H35" s="87"/>
      <c r="I35" s="87"/>
      <c r="J35" s="87"/>
      <c r="K35" s="87"/>
      <c r="L35" s="87"/>
    </row>
    <row r="36" spans="1:12" x14ac:dyDescent="0.2">
      <c r="A36" s="87"/>
      <c r="B36" s="87"/>
      <c r="C36" s="87"/>
      <c r="D36" s="87"/>
      <c r="E36" s="87"/>
      <c r="F36" s="87"/>
      <c r="G36" s="87"/>
      <c r="H36" s="87"/>
      <c r="I36" s="87"/>
      <c r="J36" s="87"/>
      <c r="K36" s="87"/>
      <c r="L36" s="87"/>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90" zoomScaleNormal="90" workbookViewId="0"/>
  </sheetViews>
  <sheetFormatPr baseColWidth="10" defaultRowHeight="16" x14ac:dyDescent="0.2"/>
  <cols>
    <col min="1" max="10" width="10.83203125" style="1"/>
    <col min="11" max="11" width="16.5" style="1" customWidth="1"/>
    <col min="12" max="16384" width="10.83203125" style="1"/>
  </cols>
  <sheetData>
    <row r="35" spans="1:11" x14ac:dyDescent="0.2">
      <c r="A35" s="97" t="s">
        <v>105</v>
      </c>
      <c r="B35" s="92"/>
      <c r="C35" s="92"/>
      <c r="D35" s="92"/>
      <c r="E35" s="92"/>
      <c r="F35" s="92"/>
      <c r="G35" s="92"/>
      <c r="H35" s="92"/>
      <c r="I35" s="92"/>
      <c r="J35" s="92"/>
      <c r="K35" s="92"/>
    </row>
    <row r="36" spans="1:11" ht="33" customHeight="1" x14ac:dyDescent="0.2">
      <c r="A36" s="92"/>
      <c r="B36" s="92"/>
      <c r="C36" s="92"/>
      <c r="D36" s="92"/>
      <c r="E36" s="92"/>
      <c r="F36" s="92"/>
      <c r="G36" s="92"/>
      <c r="H36" s="92"/>
      <c r="I36" s="92"/>
      <c r="J36" s="92"/>
      <c r="K36" s="92"/>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90" zoomScaleNormal="90" workbookViewId="0"/>
  </sheetViews>
  <sheetFormatPr baseColWidth="10" defaultRowHeight="16" x14ac:dyDescent="0.2"/>
  <cols>
    <col min="1" max="16384" width="10.83203125" style="1"/>
  </cols>
  <sheetData>
    <row r="35" spans="1:11" x14ac:dyDescent="0.2">
      <c r="A35" s="97" t="s">
        <v>84</v>
      </c>
      <c r="B35" s="92"/>
      <c r="C35" s="92"/>
      <c r="D35" s="92"/>
      <c r="E35" s="92"/>
      <c r="F35" s="92"/>
      <c r="G35" s="92"/>
      <c r="H35" s="92"/>
      <c r="I35" s="92"/>
      <c r="J35" s="92"/>
      <c r="K35" s="92"/>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90" zoomScaleNormal="90" workbookViewId="0"/>
  </sheetViews>
  <sheetFormatPr baseColWidth="10" defaultRowHeight="16" x14ac:dyDescent="0.2"/>
  <cols>
    <col min="1" max="16384" width="10.83203125" style="4"/>
  </cols>
  <sheetData>
    <row r="17" spans="1:11" x14ac:dyDescent="0.2">
      <c r="A17" s="92" t="s">
        <v>85</v>
      </c>
      <c r="B17" s="92"/>
      <c r="C17" s="92"/>
      <c r="D17" s="92"/>
      <c r="E17" s="92"/>
      <c r="F17" s="92" t="s">
        <v>88</v>
      </c>
      <c r="G17" s="92"/>
      <c r="H17" s="92"/>
      <c r="I17" s="92"/>
      <c r="J17" s="92"/>
      <c r="K17" s="92"/>
    </row>
    <row r="35" spans="1:11" x14ac:dyDescent="0.2">
      <c r="A35" s="92" t="s">
        <v>86</v>
      </c>
      <c r="B35" s="92"/>
      <c r="C35" s="92"/>
      <c r="D35" s="92"/>
      <c r="E35" s="92"/>
      <c r="F35" s="92" t="s">
        <v>87</v>
      </c>
      <c r="G35" s="92"/>
      <c r="H35" s="92"/>
      <c r="I35" s="92"/>
      <c r="J35" s="92"/>
      <c r="K35" s="92"/>
    </row>
    <row r="36" spans="1:11" x14ac:dyDescent="0.2">
      <c r="A36" s="96" t="s">
        <v>89</v>
      </c>
      <c r="B36" s="96"/>
      <c r="C36" s="96"/>
      <c r="D36" s="96"/>
      <c r="E36" s="96"/>
      <c r="F36" s="96"/>
      <c r="G36" s="96"/>
      <c r="H36" s="96"/>
      <c r="I36" s="96"/>
      <c r="J36" s="96"/>
    </row>
    <row r="37" spans="1:11" x14ac:dyDescent="0.2">
      <c r="A37" s="96"/>
      <c r="B37" s="96"/>
      <c r="C37" s="96"/>
      <c r="D37" s="96"/>
      <c r="E37" s="96"/>
      <c r="F37" s="96"/>
      <c r="G37" s="96"/>
      <c r="H37" s="96"/>
      <c r="I37" s="96"/>
      <c r="J37" s="96"/>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17</vt:i4>
      </vt:variant>
    </vt:vector>
  </HeadingPairs>
  <TitlesOfParts>
    <vt:vector size="17" baseType="lpstr">
      <vt:lpstr>Data</vt:lpstr>
      <vt:lpstr>Raman</vt:lpstr>
      <vt:lpstr>XPS</vt:lpstr>
      <vt:lpstr>FTIR</vt:lpstr>
      <vt:lpstr>XRD</vt:lpstr>
      <vt:lpstr>NMR</vt:lpstr>
      <vt:lpstr>CHN</vt:lpstr>
      <vt:lpstr>ESR</vt:lpstr>
      <vt:lpstr>LDI_FTICR_MS</vt:lpstr>
      <vt:lpstr>BPCA_Results</vt:lpstr>
      <vt:lpstr>BPCA_HPLC</vt:lpstr>
      <vt:lpstr>AtomisticModel_Results</vt:lpstr>
      <vt:lpstr>Total_PSD</vt:lpstr>
      <vt:lpstr>g(r)</vt:lpstr>
      <vt:lpstr>Coordiantion</vt:lpstr>
      <vt:lpstr>Cluster_Analysis</vt:lpstr>
      <vt:lpstr>References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Sierra Jimenez, Valentina</cp:lastModifiedBy>
  <dcterms:created xsi:type="dcterms:W3CDTF">2022-09-21T15:51:09Z</dcterms:created>
  <dcterms:modified xsi:type="dcterms:W3CDTF">2024-03-13T13:09:38Z</dcterms:modified>
</cp:coreProperties>
</file>